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総務部_税務課\【④市民税班】\06 国民健康保険税\23 年間保険料計算シート\R8\"/>
    </mc:Choice>
  </mc:AlternateContent>
  <xr:revisionPtr revIDLastSave="0" documentId="13_ncr:1_{6564DA98-DCEB-498B-9C99-3CC7505F57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試算シート" sheetId="1" r:id="rId1"/>
    <sheet name="計算の詳細" sheetId="2" r:id="rId2"/>
    <sheet name="★計算基準" sheetId="3" state="hidden" r:id="rId3"/>
    <sheet name="所得計算" sheetId="5" state="hidden" r:id="rId4"/>
    <sheet name="Sheet1" sheetId="4" state="veryHidden" r:id="rId5"/>
  </sheets>
  <definedNames>
    <definedName name="_xlnm._FilterDatabase" localSheetId="0" hidden="1">試算シート!$AN$9:$AN$14</definedName>
    <definedName name="_xlnm.Print_Area" localSheetId="1">計算の詳細!$A$1:$T$100</definedName>
    <definedName name="_xlnm.Print_Area" localSheetId="0">試算シート!$A$1:$AU$40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2" l="1"/>
  <c r="E47" i="3"/>
  <c r="D47" i="3"/>
  <c r="G20" i="3"/>
  <c r="G21" i="3"/>
  <c r="G22" i="3"/>
  <c r="G23" i="3"/>
  <c r="G24" i="3"/>
  <c r="G19" i="3"/>
  <c r="L3" i="3"/>
  <c r="G37" i="3"/>
  <c r="AD40" i="1"/>
  <c r="F94" i="2"/>
  <c r="F25" i="2"/>
  <c r="I90" i="2"/>
  <c r="M37" i="3"/>
  <c r="I85" i="2"/>
  <c r="G38" i="3"/>
  <c r="M52" i="2"/>
  <c r="I80" i="2"/>
  <c r="N87" i="2"/>
  <c r="C93" i="2"/>
  <c r="R93" i="2" s="1"/>
  <c r="N82" i="2"/>
  <c r="M8" i="2"/>
  <c r="E24" i="3"/>
  <c r="J37" i="3" l="1"/>
  <c r="G25" i="3"/>
  <c r="H37" i="3"/>
  <c r="I37" i="3"/>
  <c r="K19" i="3"/>
  <c r="C39" i="3" l="1"/>
  <c r="L37" i="3"/>
  <c r="K80" i="2" l="1"/>
  <c r="K85" i="2"/>
  <c r="E57" i="2"/>
  <c r="M85" i="2" l="1"/>
  <c r="D19" i="3" l="1"/>
  <c r="D8" i="2" l="1"/>
  <c r="D72" i="2"/>
  <c r="G57" i="2"/>
  <c r="E23" i="3" l="1"/>
  <c r="E22" i="3"/>
  <c r="F31" i="3" s="1"/>
  <c r="E21" i="3"/>
  <c r="E20" i="3"/>
  <c r="E19" i="3"/>
  <c r="P24" i="3" l="1"/>
  <c r="F33" i="3"/>
  <c r="G11" i="1"/>
  <c r="I11" i="1" l="1"/>
  <c r="M38" i="3" l="1"/>
  <c r="M39" i="3" s="1"/>
  <c r="D30" i="2" l="1"/>
  <c r="M40" i="3"/>
  <c r="M41" i="3" s="1"/>
  <c r="M42" i="3" s="1"/>
  <c r="N40" i="2"/>
  <c r="G42" i="3"/>
  <c r="G41" i="3"/>
  <c r="G40" i="3"/>
  <c r="G39" i="3"/>
  <c r="I42" i="3" l="1"/>
  <c r="H42" i="3"/>
  <c r="J42" i="3"/>
  <c r="J41" i="3"/>
  <c r="J40" i="3"/>
  <c r="J39" i="3"/>
  <c r="N37" i="3"/>
  <c r="O37" i="3" s="1"/>
  <c r="L42" i="3" l="1"/>
  <c r="N38" i="3"/>
  <c r="D57" i="2"/>
  <c r="D56" i="2"/>
  <c r="D55" i="2"/>
  <c r="D54" i="2"/>
  <c r="D53" i="2"/>
  <c r="D52" i="2"/>
  <c r="O38" i="3" l="1"/>
  <c r="N39" i="3"/>
  <c r="F67" i="2"/>
  <c r="F47" i="2"/>
  <c r="O39" i="3" l="1"/>
  <c r="N40" i="3"/>
  <c r="G43" i="3"/>
  <c r="W40" i="1"/>
  <c r="P40" i="1"/>
  <c r="I40" i="1"/>
  <c r="B43" i="1" l="1"/>
  <c r="F18" i="2"/>
  <c r="O40" i="3"/>
  <c r="N41" i="3"/>
  <c r="K18" i="2"/>
  <c r="G18" i="2"/>
  <c r="L18" i="2"/>
  <c r="J18" i="2"/>
  <c r="F82" i="2" l="1"/>
  <c r="K40" i="2"/>
  <c r="K82" i="2"/>
  <c r="L40" i="2"/>
  <c r="L82" i="2"/>
  <c r="J40" i="2"/>
  <c r="J82" i="2"/>
  <c r="F40" i="2"/>
  <c r="G82" i="2"/>
  <c r="G40" i="2"/>
  <c r="O41" i="3"/>
  <c r="N42" i="3"/>
  <c r="O42" i="3" s="1"/>
  <c r="D21" i="3"/>
  <c r="D22" i="3"/>
  <c r="D23" i="3"/>
  <c r="D24" i="3"/>
  <c r="D77" i="2" s="1"/>
  <c r="D20" i="3"/>
  <c r="K23" i="3" l="1"/>
  <c r="D76" i="2"/>
  <c r="C37" i="3"/>
  <c r="K22" i="3"/>
  <c r="D75" i="2"/>
  <c r="K21" i="3"/>
  <c r="D74" i="2"/>
  <c r="D10" i="2"/>
  <c r="K20" i="3"/>
  <c r="D9" i="2"/>
  <c r="D73" i="2"/>
  <c r="L8" i="3"/>
  <c r="K24" i="3"/>
  <c r="D35" i="2"/>
  <c r="I13" i="1"/>
  <c r="L6" i="3"/>
  <c r="L5" i="3"/>
  <c r="L4" i="3"/>
  <c r="D34" i="2"/>
  <c r="L7" i="3"/>
  <c r="I15" i="1"/>
  <c r="D32" i="2"/>
  <c r="D31" i="2"/>
  <c r="I17" i="1"/>
  <c r="D33" i="2"/>
  <c r="D11" i="2"/>
  <c r="I21" i="1"/>
  <c r="D13" i="2"/>
  <c r="I19" i="1"/>
  <c r="D12" i="2"/>
  <c r="E25" i="3"/>
  <c r="D25" i="3"/>
  <c r="M90" i="2" l="1"/>
  <c r="K16" i="2"/>
  <c r="M21" i="2"/>
  <c r="M80" i="2"/>
  <c r="K25" i="3"/>
  <c r="H73" i="5"/>
  <c r="H72" i="5"/>
  <c r="H71" i="5"/>
  <c r="H70" i="5"/>
  <c r="H69" i="5"/>
  <c r="F73" i="5"/>
  <c r="F72" i="5"/>
  <c r="F71" i="5"/>
  <c r="F70" i="5"/>
  <c r="F69" i="5"/>
  <c r="I24" i="3" s="1"/>
  <c r="H60" i="5"/>
  <c r="H59" i="5"/>
  <c r="H58" i="5"/>
  <c r="H57" i="5"/>
  <c r="H56" i="5"/>
  <c r="F60" i="5"/>
  <c r="F59" i="5"/>
  <c r="F58" i="5"/>
  <c r="F57" i="5"/>
  <c r="F56" i="5"/>
  <c r="H47" i="5"/>
  <c r="H46" i="5"/>
  <c r="H45" i="5"/>
  <c r="H44" i="5"/>
  <c r="H43" i="5"/>
  <c r="F47" i="5"/>
  <c r="F46" i="5"/>
  <c r="F45" i="5"/>
  <c r="F44" i="5"/>
  <c r="F43" i="5"/>
  <c r="H34" i="5"/>
  <c r="H33" i="5"/>
  <c r="H32" i="5"/>
  <c r="H31" i="5"/>
  <c r="H30" i="5"/>
  <c r="F34" i="5"/>
  <c r="F33" i="5"/>
  <c r="F32" i="5"/>
  <c r="F31" i="5"/>
  <c r="F30" i="5"/>
  <c r="H21" i="5"/>
  <c r="H20" i="5"/>
  <c r="H19" i="5"/>
  <c r="H18" i="5"/>
  <c r="H17" i="5"/>
  <c r="F21" i="5"/>
  <c r="F20" i="5"/>
  <c r="F19" i="5"/>
  <c r="F18" i="5"/>
  <c r="F17" i="5"/>
  <c r="H4" i="5"/>
  <c r="F4" i="5"/>
  <c r="I22" i="3" l="1"/>
  <c r="I21" i="3"/>
  <c r="J21" i="3" s="1"/>
  <c r="J24" i="3"/>
  <c r="I20" i="3"/>
  <c r="J20" i="3" s="1"/>
  <c r="I23" i="3"/>
  <c r="C38" i="3"/>
  <c r="H8" i="5"/>
  <c r="H7" i="5"/>
  <c r="H6" i="5"/>
  <c r="H5" i="5"/>
  <c r="F8" i="5"/>
  <c r="F7" i="5"/>
  <c r="F6" i="5"/>
  <c r="I19" i="3" s="1"/>
  <c r="J19" i="3" s="1"/>
  <c r="F5" i="5"/>
  <c r="C78" i="5"/>
  <c r="C77" i="5"/>
  <c r="C76" i="5"/>
  <c r="C75" i="5"/>
  <c r="C74" i="5"/>
  <c r="C69" i="5"/>
  <c r="M8" i="3" s="1"/>
  <c r="C65" i="5"/>
  <c r="C64" i="5"/>
  <c r="C63" i="5"/>
  <c r="C62" i="5"/>
  <c r="C61" i="5"/>
  <c r="C56" i="5"/>
  <c r="C52" i="5"/>
  <c r="C51" i="5"/>
  <c r="C50" i="5"/>
  <c r="C49" i="5"/>
  <c r="C43" i="5"/>
  <c r="C39" i="5"/>
  <c r="C38" i="5"/>
  <c r="C37" i="5"/>
  <c r="C36" i="5"/>
  <c r="C35" i="5"/>
  <c r="C30" i="5"/>
  <c r="C48" i="5"/>
  <c r="C26" i="5"/>
  <c r="C25" i="5"/>
  <c r="C24" i="5"/>
  <c r="C23" i="5"/>
  <c r="C22" i="5"/>
  <c r="C17" i="5"/>
  <c r="C13" i="5"/>
  <c r="C12" i="5"/>
  <c r="C11" i="5"/>
  <c r="C10" i="5"/>
  <c r="C9" i="5"/>
  <c r="C4" i="5"/>
  <c r="J22" i="3" l="1"/>
  <c r="M5" i="3"/>
  <c r="N8" i="3"/>
  <c r="P8" i="3" s="1"/>
  <c r="R8" i="3" s="1"/>
  <c r="H24" i="3" s="1"/>
  <c r="M7" i="3"/>
  <c r="N7" i="3" s="1"/>
  <c r="P7" i="3" s="1"/>
  <c r="R7" i="3" s="1"/>
  <c r="H23" i="3" s="1"/>
  <c r="M6" i="3"/>
  <c r="O8" i="3"/>
  <c r="Q8" i="3" s="1"/>
  <c r="J23" i="3"/>
  <c r="M4" i="3"/>
  <c r="N4" i="3" s="1"/>
  <c r="P4" i="3" s="1"/>
  <c r="R4" i="3" s="1"/>
  <c r="M3" i="3"/>
  <c r="I25" i="3"/>
  <c r="C36" i="3"/>
  <c r="O7" i="3" l="1"/>
  <c r="N5" i="3"/>
  <c r="P5" i="3" s="1"/>
  <c r="R5" i="3" s="1"/>
  <c r="H21" i="3" s="1"/>
  <c r="O5" i="3"/>
  <c r="N3" i="3"/>
  <c r="P3" i="3" s="1"/>
  <c r="R3" i="3" s="1"/>
  <c r="H19" i="3" s="1"/>
  <c r="L19" i="3" s="1"/>
  <c r="O19" i="3" s="1"/>
  <c r="R24" i="3"/>
  <c r="M24" i="3"/>
  <c r="L24" i="3"/>
  <c r="Q24" i="3" s="1"/>
  <c r="N6" i="3"/>
  <c r="P6" i="3" s="1"/>
  <c r="R6" i="3" s="1"/>
  <c r="H22" i="3" s="1"/>
  <c r="O6" i="3"/>
  <c r="O4" i="3"/>
  <c r="Q4" i="3" s="1"/>
  <c r="E55" i="2"/>
  <c r="P22" i="3"/>
  <c r="J25" i="3"/>
  <c r="J8" i="3"/>
  <c r="S8" i="3" s="1"/>
  <c r="L23" i="3"/>
  <c r="Q23" i="3" s="1"/>
  <c r="R23" i="3"/>
  <c r="M23" i="3"/>
  <c r="O3" i="3"/>
  <c r="Q3" i="3" s="1"/>
  <c r="J4" i="3"/>
  <c r="S4" i="3" s="1"/>
  <c r="M19" i="3" l="1"/>
  <c r="N19" i="3"/>
  <c r="P19" i="3"/>
  <c r="Q7" i="3"/>
  <c r="J7" i="3"/>
  <c r="S7" i="3" s="1"/>
  <c r="R21" i="3"/>
  <c r="L21" i="3"/>
  <c r="Q21" i="3" s="1"/>
  <c r="M21" i="3"/>
  <c r="Q5" i="3"/>
  <c r="J5" i="3"/>
  <c r="S5" i="3" s="1"/>
  <c r="J3" i="3"/>
  <c r="E35" i="2"/>
  <c r="E13" i="2"/>
  <c r="G13" i="2" s="1"/>
  <c r="E77" i="2"/>
  <c r="N24" i="3"/>
  <c r="O24" i="3"/>
  <c r="E76" i="2"/>
  <c r="E12" i="2"/>
  <c r="L22" i="3"/>
  <c r="R22" i="3"/>
  <c r="Q6" i="3"/>
  <c r="M22" i="3" s="1"/>
  <c r="J6" i="3"/>
  <c r="S6" i="3" s="1"/>
  <c r="G55" i="2"/>
  <c r="E56" i="2"/>
  <c r="P23" i="3"/>
  <c r="E34" i="2"/>
  <c r="H34" i="2" s="1"/>
  <c r="O23" i="3"/>
  <c r="N23" i="3"/>
  <c r="H20" i="3"/>
  <c r="F57" i="2"/>
  <c r="G77" i="2" l="1"/>
  <c r="I16" i="3"/>
  <c r="E75" i="2"/>
  <c r="Q22" i="3"/>
  <c r="P21" i="3"/>
  <c r="E74" i="2"/>
  <c r="E32" i="2"/>
  <c r="F32" i="2" s="1"/>
  <c r="E10" i="2"/>
  <c r="G10" i="2" s="1"/>
  <c r="I10" i="2" s="1"/>
  <c r="O21" i="3"/>
  <c r="N21" i="3"/>
  <c r="E54" i="2"/>
  <c r="H54" i="2" s="1"/>
  <c r="R19" i="3"/>
  <c r="I77" i="2"/>
  <c r="H76" i="2"/>
  <c r="F76" i="2"/>
  <c r="H77" i="2"/>
  <c r="F77" i="2"/>
  <c r="G12" i="2"/>
  <c r="G76" i="2"/>
  <c r="I76" i="2" s="1"/>
  <c r="E11" i="2"/>
  <c r="E33" i="2"/>
  <c r="N22" i="3"/>
  <c r="O22" i="3"/>
  <c r="G56" i="2"/>
  <c r="H56" i="2"/>
  <c r="E52" i="2"/>
  <c r="H12" i="2"/>
  <c r="R20" i="3"/>
  <c r="M20" i="3"/>
  <c r="L20" i="3"/>
  <c r="N20" i="3" s="1"/>
  <c r="H25" i="3"/>
  <c r="L25" i="3" s="1"/>
  <c r="G34" i="2"/>
  <c r="F12" i="2"/>
  <c r="F56" i="2"/>
  <c r="I57" i="2"/>
  <c r="F34" i="2"/>
  <c r="G35" i="2"/>
  <c r="H57" i="2"/>
  <c r="H13" i="2"/>
  <c r="F13" i="2"/>
  <c r="F35" i="2"/>
  <c r="H35" i="2"/>
  <c r="I43" i="2"/>
  <c r="I38" i="2"/>
  <c r="I56" i="2"/>
  <c r="M30" i="2"/>
  <c r="I64" i="2"/>
  <c r="M64" i="2" s="1"/>
  <c r="I16" i="2"/>
  <c r="I60" i="2"/>
  <c r="I21" i="2"/>
  <c r="K48" i="3"/>
  <c r="K49" i="3"/>
  <c r="K47" i="3"/>
  <c r="B44" i="1" l="1"/>
  <c r="Q19" i="3"/>
  <c r="Q20" i="3"/>
  <c r="P20" i="3"/>
  <c r="G32" i="2"/>
  <c r="G74" i="2"/>
  <c r="I74" i="2" s="1"/>
  <c r="R25" i="3"/>
  <c r="D48" i="3" s="1"/>
  <c r="M25" i="3"/>
  <c r="H74" i="2"/>
  <c r="F74" i="2"/>
  <c r="E72" i="2"/>
  <c r="E8" i="2"/>
  <c r="E30" i="2"/>
  <c r="F30" i="2" s="1"/>
  <c r="G75" i="2"/>
  <c r="I75" i="2" s="1"/>
  <c r="G11" i="2"/>
  <c r="E73" i="2"/>
  <c r="E9" i="2"/>
  <c r="F75" i="2"/>
  <c r="H75" i="2"/>
  <c r="E31" i="2"/>
  <c r="E53" i="2"/>
  <c r="O20" i="3"/>
  <c r="F33" i="2"/>
  <c r="F54" i="2"/>
  <c r="H10" i="2"/>
  <c r="G54" i="2"/>
  <c r="I54" i="2" s="1"/>
  <c r="H52" i="2"/>
  <c r="H32" i="2"/>
  <c r="F10" i="2"/>
  <c r="I55" i="2"/>
  <c r="F55" i="2"/>
  <c r="H55" i="2"/>
  <c r="I34" i="2"/>
  <c r="I12" i="2"/>
  <c r="Q25" i="3" l="1"/>
  <c r="G52" i="2"/>
  <c r="P25" i="3"/>
  <c r="O25" i="3"/>
  <c r="P25" i="1" s="1"/>
  <c r="N25" i="3"/>
  <c r="I25" i="1" s="1"/>
  <c r="E51" i="3"/>
  <c r="C52" i="3"/>
  <c r="C51" i="3"/>
  <c r="C50" i="3"/>
  <c r="C49" i="3"/>
  <c r="E52" i="3"/>
  <c r="D52" i="3"/>
  <c r="E49" i="3"/>
  <c r="D51" i="3"/>
  <c r="E48" i="3"/>
  <c r="D50" i="3"/>
  <c r="D49" i="3"/>
  <c r="E50" i="3"/>
  <c r="C48" i="3"/>
  <c r="I48" i="3"/>
  <c r="H72" i="2"/>
  <c r="F72" i="2"/>
  <c r="G72" i="2"/>
  <c r="I72" i="2" s="1"/>
  <c r="G30" i="2"/>
  <c r="I30" i="2" s="1"/>
  <c r="G8" i="2"/>
  <c r="I8" i="2" s="1"/>
  <c r="G31" i="2"/>
  <c r="I31" i="2" s="1"/>
  <c r="G9" i="2"/>
  <c r="I9" i="2" s="1"/>
  <c r="G73" i="2"/>
  <c r="H73" i="2"/>
  <c r="F73" i="2"/>
  <c r="F9" i="2"/>
  <c r="G53" i="2"/>
  <c r="I53" i="2" s="1"/>
  <c r="H9" i="2"/>
  <c r="F31" i="2"/>
  <c r="H31" i="2"/>
  <c r="H53" i="2"/>
  <c r="F53" i="2"/>
  <c r="H33" i="2"/>
  <c r="H11" i="2"/>
  <c r="F11" i="2"/>
  <c r="G33" i="2"/>
  <c r="I33" i="2" s="1"/>
  <c r="F8" i="2"/>
  <c r="H8" i="2"/>
  <c r="F52" i="2"/>
  <c r="H30" i="2"/>
  <c r="M43" i="2"/>
  <c r="I35" i="2"/>
  <c r="I13" i="2"/>
  <c r="I11" i="2"/>
  <c r="I32" i="2"/>
  <c r="K38" i="2"/>
  <c r="M38" i="2" s="1"/>
  <c r="K60" i="2"/>
  <c r="M16" i="2"/>
  <c r="I52" i="2" l="1"/>
  <c r="W25" i="1"/>
  <c r="I73" i="2"/>
  <c r="K74" i="2" s="1"/>
  <c r="P74" i="2" s="1"/>
  <c r="G69" i="2"/>
  <c r="M60" i="2"/>
  <c r="I47" i="3"/>
  <c r="I49" i="3"/>
  <c r="G27" i="2"/>
  <c r="G5" i="2"/>
  <c r="K32" i="2"/>
  <c r="P32" i="2" s="1"/>
  <c r="K10" i="2"/>
  <c r="P10" i="2" s="1"/>
  <c r="G47" i="3" l="1"/>
  <c r="G48" i="3"/>
  <c r="K54" i="2"/>
  <c r="P54" i="2" s="1"/>
  <c r="G50" i="3"/>
  <c r="G49" i="3"/>
  <c r="C34" i="3" l="1"/>
  <c r="F28" i="3"/>
  <c r="H28" i="3"/>
  <c r="G17" i="2"/>
  <c r="J31" i="3"/>
  <c r="J32" i="3"/>
  <c r="J28" i="3"/>
  <c r="J30" i="3"/>
  <c r="J29" i="3"/>
  <c r="K43" i="3" s="1"/>
  <c r="J33" i="3"/>
  <c r="K86" i="2"/>
  <c r="G91" i="2"/>
  <c r="G22" i="2"/>
  <c r="L81" i="2"/>
  <c r="J86" i="2"/>
  <c r="K81" i="2"/>
  <c r="I34" i="3"/>
  <c r="E34" i="3"/>
  <c r="I44" i="2" s="1"/>
  <c r="H33" i="3"/>
  <c r="H31" i="3"/>
  <c r="H29" i="3"/>
  <c r="J38" i="3" s="1"/>
  <c r="D28" i="3"/>
  <c r="G86" i="2"/>
  <c r="G81" i="2"/>
  <c r="F81" i="2"/>
  <c r="K17" i="2"/>
  <c r="G34" i="3"/>
  <c r="M65" i="2" s="1"/>
  <c r="P64" i="2" s="1"/>
  <c r="F86" i="2"/>
  <c r="J17" i="2"/>
  <c r="F91" i="2"/>
  <c r="G44" i="2"/>
  <c r="F22" i="2"/>
  <c r="H32" i="3"/>
  <c r="H30" i="3"/>
  <c r="D32" i="3"/>
  <c r="D31" i="3"/>
  <c r="B30" i="3"/>
  <c r="B29" i="3"/>
  <c r="H38" i="3" s="1"/>
  <c r="B28" i="3"/>
  <c r="F30" i="3"/>
  <c r="F29" i="3"/>
  <c r="F17" i="2"/>
  <c r="L86" i="2"/>
  <c r="J81" i="2"/>
  <c r="L17" i="2"/>
  <c r="B31" i="3"/>
  <c r="F32" i="3"/>
  <c r="L61" i="2"/>
  <c r="D30" i="3"/>
  <c r="I39" i="3" s="1"/>
  <c r="F61" i="2"/>
  <c r="B33" i="3"/>
  <c r="D33" i="3"/>
  <c r="G65" i="2"/>
  <c r="B42" i="1"/>
  <c r="B32" i="3"/>
  <c r="H41" i="3" s="1"/>
  <c r="I41" i="3"/>
  <c r="I40" i="3"/>
  <c r="H39" i="3"/>
  <c r="H40" i="3"/>
  <c r="F39" i="2"/>
  <c r="F44" i="2"/>
  <c r="G39" i="2"/>
  <c r="G61" i="2"/>
  <c r="K61" i="2"/>
  <c r="L39" i="2"/>
  <c r="J61" i="2"/>
  <c r="J39" i="2"/>
  <c r="F65" i="2"/>
  <c r="K39" i="2"/>
  <c r="D29" i="3"/>
  <c r="I38" i="3" s="1"/>
  <c r="AD25" i="1" l="1"/>
  <c r="J43" i="3"/>
  <c r="L38" i="3"/>
  <c r="L40" i="3"/>
  <c r="L41" i="3"/>
  <c r="F34" i="3"/>
  <c r="T28" i="3" s="1"/>
  <c r="T31" i="3" s="1"/>
  <c r="T32" i="3" s="1"/>
  <c r="J34" i="3"/>
  <c r="I86" i="2" s="1"/>
  <c r="M86" i="2" s="1"/>
  <c r="P86" i="2" s="1"/>
  <c r="L39" i="3"/>
  <c r="M91" i="2"/>
  <c r="P90" i="2" s="1"/>
  <c r="AD31" i="1" s="1"/>
  <c r="I91" i="2"/>
  <c r="I22" i="2"/>
  <c r="M22" i="2"/>
  <c r="P21" i="2" s="1"/>
  <c r="I31" i="1" s="1"/>
  <c r="H34" i="3"/>
  <c r="I81" i="2" s="1"/>
  <c r="M81" i="2" s="1"/>
  <c r="D34" i="3"/>
  <c r="I39" i="2" s="1"/>
  <c r="M39" i="2" s="1"/>
  <c r="M44" i="2"/>
  <c r="P43" i="2" s="1"/>
  <c r="P31" i="1" s="1"/>
  <c r="I65" i="2"/>
  <c r="B34" i="3"/>
  <c r="I17" i="2" s="1"/>
  <c r="M17" i="2" s="1"/>
  <c r="H43" i="3"/>
  <c r="W31" i="1"/>
  <c r="AD29" i="1" l="1"/>
  <c r="I82" i="2"/>
  <c r="M82" i="2"/>
  <c r="P81" i="2" s="1"/>
  <c r="AD27" i="1" s="1"/>
  <c r="M18" i="2"/>
  <c r="I18" i="2"/>
  <c r="L43" i="3"/>
  <c r="N18" i="2" s="1"/>
  <c r="I61" i="2"/>
  <c r="M61" i="2" s="1"/>
  <c r="P60" i="2" s="1"/>
  <c r="I67" i="2" s="1"/>
  <c r="I43" i="3"/>
  <c r="I40" i="2" s="1"/>
  <c r="R28" i="3"/>
  <c r="R29" i="3" s="1"/>
  <c r="T29" i="3"/>
  <c r="AD35" i="1" l="1"/>
  <c r="P17" i="2"/>
  <c r="I25" i="2" s="1"/>
  <c r="W27" i="1"/>
  <c r="W35" i="1" s="1"/>
  <c r="S28" i="3"/>
  <c r="S29" i="3" s="1"/>
  <c r="U29" i="3" s="1"/>
  <c r="M40" i="2"/>
  <c r="P39" i="2" s="1"/>
  <c r="P27" i="1" s="1"/>
  <c r="I27" i="1" l="1"/>
  <c r="U28" i="3"/>
  <c r="R31" i="3" l="1"/>
  <c r="S31" i="3"/>
  <c r="S32" i="3" l="1"/>
  <c r="B45" i="1"/>
  <c r="C24" i="2"/>
  <c r="U31" i="3"/>
  <c r="R32" i="3"/>
  <c r="U32" i="3" l="1"/>
  <c r="U34" i="3" s="1"/>
  <c r="S36" i="3" s="1"/>
  <c r="R36" i="3" s="1"/>
  <c r="B33" i="1"/>
  <c r="C46" i="2"/>
  <c r="I47" i="2" l="1"/>
  <c r="K93" i="2"/>
  <c r="I94" i="2" s="1"/>
  <c r="P32" i="1"/>
  <c r="I32" i="1"/>
  <c r="O33" i="1"/>
  <c r="V33" i="1"/>
  <c r="R24" i="2"/>
  <c r="R46" i="2"/>
  <c r="P97" i="2" l="1"/>
  <c r="P99" i="2" s="1"/>
  <c r="P33" i="1"/>
  <c r="P35" i="1" s="1"/>
  <c r="I33" i="1"/>
  <c r="I35" i="1" s="1"/>
  <c r="AM35" i="1" l="1"/>
  <c r="AM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N2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保険料の計算には反映させていない
</t>
        </r>
      </text>
    </comment>
  </commentList>
</comments>
</file>

<file path=xl/sharedStrings.xml><?xml version="1.0" encoding="utf-8"?>
<sst xmlns="http://schemas.openxmlformats.org/spreadsheetml/2006/main" count="304" uniqueCount="164">
  <si>
    <t>世帯主</t>
    <rPh sb="0" eb="3">
      <t>セタイヌシ</t>
    </rPh>
    <phoneticPr fontId="2"/>
  </si>
  <si>
    <t>加入者１</t>
    <rPh sb="0" eb="3">
      <t>カニュウシャ</t>
    </rPh>
    <phoneticPr fontId="2"/>
  </si>
  <si>
    <t>加入者２</t>
    <rPh sb="0" eb="3">
      <t>カニュウシャ</t>
    </rPh>
    <phoneticPr fontId="2"/>
  </si>
  <si>
    <t>加入者３</t>
    <rPh sb="0" eb="3">
      <t>カニュウシャ</t>
    </rPh>
    <phoneticPr fontId="2"/>
  </si>
  <si>
    <t>加入者４</t>
    <rPh sb="0" eb="3">
      <t>カニュウシャ</t>
    </rPh>
    <phoneticPr fontId="2"/>
  </si>
  <si>
    <t>加入者５</t>
    <rPh sb="0" eb="3">
      <t>カニュウシャ</t>
    </rPh>
    <phoneticPr fontId="2"/>
  </si>
  <si>
    <t>総所得金額</t>
    <rPh sb="0" eb="3">
      <t>ソウショトク</t>
    </rPh>
    <rPh sb="3" eb="5">
      <t>キンガク</t>
    </rPh>
    <phoneticPr fontId="2"/>
  </si>
  <si>
    <t>加入しない</t>
    <rPh sb="0" eb="2">
      <t>カニュウ</t>
    </rPh>
    <phoneticPr fontId="2"/>
  </si>
  <si>
    <t>円</t>
    <rPh sb="0" eb="1">
      <t>エン</t>
    </rPh>
    <phoneticPr fontId="2"/>
  </si>
  <si>
    <t>医療分</t>
    <rPh sb="0" eb="2">
      <t>イリョウ</t>
    </rPh>
    <rPh sb="2" eb="3">
      <t>ブン</t>
    </rPh>
    <phoneticPr fontId="2"/>
  </si>
  <si>
    <t>支援分</t>
    <rPh sb="0" eb="2">
      <t>シエン</t>
    </rPh>
    <rPh sb="2" eb="3">
      <t>ブン</t>
    </rPh>
    <phoneticPr fontId="2"/>
  </si>
  <si>
    <t>介護分</t>
    <rPh sb="0" eb="2">
      <t>カイゴ</t>
    </rPh>
    <rPh sb="2" eb="3">
      <t>ブン</t>
    </rPh>
    <phoneticPr fontId="2"/>
  </si>
  <si>
    <t>＋</t>
    <phoneticPr fontId="2"/>
  </si>
  <si>
    <t>合計額</t>
    <rPh sb="0" eb="2">
      <t>ゴウケイ</t>
    </rPh>
    <rPh sb="2" eb="3">
      <t>ガク</t>
    </rPh>
    <phoneticPr fontId="2"/>
  </si>
  <si>
    <t>合計</t>
    <rPh sb="0" eb="2">
      <t>ゴウケイ</t>
    </rPh>
    <phoneticPr fontId="2"/>
  </si>
  <si>
    <t>賦課限度額</t>
    <rPh sb="0" eb="2">
      <t>フカ</t>
    </rPh>
    <rPh sb="2" eb="4">
      <t>ゲンド</t>
    </rPh>
    <rPh sb="4" eb="5">
      <t>ガク</t>
    </rPh>
    <phoneticPr fontId="2"/>
  </si>
  <si>
    <t>所得割</t>
    <rPh sb="0" eb="2">
      <t>ショトク</t>
    </rPh>
    <rPh sb="2" eb="3">
      <t>ワリ</t>
    </rPh>
    <phoneticPr fontId="2"/>
  </si>
  <si>
    <t>均等割</t>
    <rPh sb="0" eb="2">
      <t>キントウ</t>
    </rPh>
    <phoneticPr fontId="2"/>
  </si>
  <si>
    <t>均等割</t>
    <rPh sb="0" eb="2">
      <t>キントウ</t>
    </rPh>
    <rPh sb="2" eb="3">
      <t>ワリ</t>
    </rPh>
    <phoneticPr fontId="2"/>
  </si>
  <si>
    <t>限度額</t>
    <rPh sb="0" eb="2">
      <t>ゲンド</t>
    </rPh>
    <rPh sb="2" eb="3">
      <t>ガク</t>
    </rPh>
    <phoneticPr fontId="2"/>
  </si>
  <si>
    <t>支援金</t>
    <rPh sb="0" eb="2">
      <t>シエン</t>
    </rPh>
    <rPh sb="2" eb="3">
      <t>キン</t>
    </rPh>
    <phoneticPr fontId="2"/>
  </si>
  <si>
    <t>7割軽減</t>
    <rPh sb="1" eb="2">
      <t>ワリ</t>
    </rPh>
    <rPh sb="2" eb="4">
      <t>ケイゲン</t>
    </rPh>
    <phoneticPr fontId="2"/>
  </si>
  <si>
    <t>5割軽減</t>
    <rPh sb="1" eb="2">
      <t>ワリ</t>
    </rPh>
    <rPh sb="2" eb="4">
      <t>ケイゲン</t>
    </rPh>
    <phoneticPr fontId="2"/>
  </si>
  <si>
    <t>2割軽減</t>
    <rPh sb="1" eb="2">
      <t>ワリ</t>
    </rPh>
    <rPh sb="2" eb="4">
      <t>ケイゲン</t>
    </rPh>
    <phoneticPr fontId="2"/>
  </si>
  <si>
    <t>【保険料率】</t>
    <rPh sb="1" eb="4">
      <t>ホケンリョウ</t>
    </rPh>
    <rPh sb="4" eb="5">
      <t>リツ</t>
    </rPh>
    <phoneticPr fontId="2"/>
  </si>
  <si>
    <t>加入者合計</t>
    <rPh sb="0" eb="3">
      <t>カニュウシャ</t>
    </rPh>
    <rPh sb="3" eb="5">
      <t>ゴウケイ</t>
    </rPh>
    <phoneticPr fontId="2"/>
  </si>
  <si>
    <t>人数判定</t>
    <rPh sb="0" eb="2">
      <t>ニンズウ</t>
    </rPh>
    <rPh sb="2" eb="4">
      <t>ハンテイ</t>
    </rPh>
    <phoneticPr fontId="2"/>
  </si>
  <si>
    <t>世帯主判定</t>
    <rPh sb="0" eb="3">
      <t>セタイヌシ</t>
    </rPh>
    <rPh sb="3" eb="5">
      <t>ハンテイ</t>
    </rPh>
    <phoneticPr fontId="2"/>
  </si>
  <si>
    <t>介護判定</t>
    <rPh sb="0" eb="2">
      <t>カイゴ</t>
    </rPh>
    <rPh sb="2" eb="4">
      <t>ハンテイ</t>
    </rPh>
    <phoneticPr fontId="2"/>
  </si>
  <si>
    <t>均等割（介護）</t>
    <rPh sb="0" eb="3">
      <t>キントウワ</t>
    </rPh>
    <rPh sb="4" eb="6">
      <t>カイゴ</t>
    </rPh>
    <phoneticPr fontId="2"/>
  </si>
  <si>
    <t>均等割（支援）</t>
    <rPh sb="4" eb="6">
      <t>シエン</t>
    </rPh>
    <phoneticPr fontId="2"/>
  </si>
  <si>
    <t>均等割（医療）</t>
    <rPh sb="0" eb="3">
      <t>キントウワ</t>
    </rPh>
    <rPh sb="4" eb="6">
      <t>イリョウ</t>
    </rPh>
    <phoneticPr fontId="2"/>
  </si>
  <si>
    <t>総所得金額</t>
  </si>
  <si>
    <t>所得割（医療）</t>
    <rPh sb="0" eb="2">
      <t>ショトク</t>
    </rPh>
    <rPh sb="2" eb="3">
      <t>ワリ</t>
    </rPh>
    <rPh sb="4" eb="6">
      <t>イリョウ</t>
    </rPh>
    <phoneticPr fontId="2"/>
  </si>
  <si>
    <t>所得割（支援）</t>
    <rPh sb="0" eb="2">
      <t>ショトク</t>
    </rPh>
    <rPh sb="2" eb="3">
      <t>ワリ</t>
    </rPh>
    <rPh sb="4" eb="6">
      <t>シエン</t>
    </rPh>
    <phoneticPr fontId="2"/>
  </si>
  <si>
    <t>所得割（介護）</t>
    <rPh sb="0" eb="2">
      <t>ショトク</t>
    </rPh>
    <rPh sb="2" eb="3">
      <t>ワリ</t>
    </rPh>
    <rPh sb="4" eb="6">
      <t>カイゴ</t>
    </rPh>
    <phoneticPr fontId="2"/>
  </si>
  <si>
    <t>年齢判定</t>
    <rPh sb="0" eb="2">
      <t>ネンレイ</t>
    </rPh>
    <rPh sb="2" eb="4">
      <t>ハンテイ</t>
    </rPh>
    <phoneticPr fontId="2"/>
  </si>
  <si>
    <t>円</t>
    <phoneticPr fontId="2"/>
  </si>
  <si>
    <t>7割</t>
    <rPh sb="1" eb="2">
      <t>ワリ</t>
    </rPh>
    <phoneticPr fontId="2"/>
  </si>
  <si>
    <t>5割</t>
    <rPh sb="1" eb="2">
      <t>ワリ</t>
    </rPh>
    <phoneticPr fontId="2"/>
  </si>
  <si>
    <t>2割</t>
    <rPh sb="1" eb="2">
      <t>ワリ</t>
    </rPh>
    <phoneticPr fontId="2"/>
  </si>
  <si>
    <t>基礎控除額</t>
    <rPh sb="0" eb="2">
      <t>キソ</t>
    </rPh>
    <rPh sb="2" eb="4">
      <t>コウジョ</t>
    </rPh>
    <rPh sb="4" eb="5">
      <t>ガク</t>
    </rPh>
    <phoneticPr fontId="2"/>
  </si>
  <si>
    <t>1人につき</t>
    <rPh sb="1" eb="2">
      <t>ヒト</t>
    </rPh>
    <phoneticPr fontId="2"/>
  </si>
  <si>
    <t>1世帯につき</t>
    <rPh sb="1" eb="3">
      <t>セタイ</t>
    </rPh>
    <phoneticPr fontId="2"/>
  </si>
  <si>
    <t>【軽減表示文言】</t>
    <phoneticPr fontId="2"/>
  </si>
  <si>
    <t>【減額判定表】</t>
    <rPh sb="1" eb="3">
      <t>ゲンガク</t>
    </rPh>
    <rPh sb="3" eb="5">
      <t>ハンテイ</t>
    </rPh>
    <rPh sb="5" eb="6">
      <t>ヒョウ</t>
    </rPh>
    <phoneticPr fontId="2"/>
  </si>
  <si>
    <t>【軽減基準】</t>
    <rPh sb="1" eb="3">
      <t>ケイゲン</t>
    </rPh>
    <rPh sb="3" eb="5">
      <t>キジュン</t>
    </rPh>
    <phoneticPr fontId="2"/>
  </si>
  <si>
    <t>区分</t>
    <rPh sb="0" eb="2">
      <t>クブン</t>
    </rPh>
    <phoneticPr fontId="2"/>
  </si>
  <si>
    <t>円</t>
  </si>
  <si>
    <t>介護分</t>
  </si>
  <si>
    <t>円</t>
    <phoneticPr fontId="2"/>
  </si>
  <si>
    <t>| |</t>
  </si>
  <si>
    <t>（100円未満切り捨て）</t>
  </si>
  <si>
    <t>＋</t>
    <phoneticPr fontId="2"/>
  </si>
  <si>
    <t>所得割</t>
    <rPh sb="0" eb="3">
      <t>ショトクワリ</t>
    </rPh>
    <phoneticPr fontId="2"/>
  </si>
  <si>
    <t>均等割</t>
    <rPh sb="0" eb="3">
      <t>キントウワリ</t>
    </rPh>
    <phoneticPr fontId="2"/>
  </si>
  <si>
    <t>基礎控除後の
総所得金額等</t>
    <phoneticPr fontId="2"/>
  </si>
  <si>
    <t>＝</t>
    <phoneticPr fontId="2"/>
  </si>
  <si>
    <t>×</t>
    <phoneticPr fontId="2"/>
  </si>
  <si>
    <t>所得割料率</t>
    <phoneticPr fontId="2"/>
  </si>
  <si>
    <t>所得割料率</t>
    <phoneticPr fontId="2"/>
  </si>
  <si>
    <t>所得割料率</t>
    <phoneticPr fontId="2"/>
  </si>
  <si>
    <t>合計</t>
    <phoneticPr fontId="2"/>
  </si>
  <si>
    <t>※100円未満切り捨て</t>
    <rPh sb="4" eb="5">
      <t>エン</t>
    </rPh>
    <rPh sb="5" eb="7">
      <t>ミマン</t>
    </rPh>
    <rPh sb="7" eb="8">
      <t>キ</t>
    </rPh>
    <rPh sb="9" eb="10">
      <t>ス</t>
    </rPh>
    <phoneticPr fontId="2"/>
  </si>
  <si>
    <t>給与収入</t>
    <rPh sb="0" eb="2">
      <t>キュウヨ</t>
    </rPh>
    <rPh sb="2" eb="4">
      <t>シュウニュウ</t>
    </rPh>
    <phoneticPr fontId="2"/>
  </si>
  <si>
    <t>円</t>
    <rPh sb="0" eb="1">
      <t>エン</t>
    </rPh>
    <phoneticPr fontId="2"/>
  </si>
  <si>
    <t>年金収入</t>
    <rPh sb="0" eb="4">
      <t>ネンキンシュウニュウ</t>
    </rPh>
    <phoneticPr fontId="2"/>
  </si>
  <si>
    <t>その他所得</t>
    <rPh sb="2" eb="3">
      <t>タ</t>
    </rPh>
    <rPh sb="3" eb="5">
      <t>ショトク</t>
    </rPh>
    <phoneticPr fontId="2"/>
  </si>
  <si>
    <t>給与所得</t>
    <rPh sb="0" eb="4">
      <t>キュウヨショトク</t>
    </rPh>
    <phoneticPr fontId="2"/>
  </si>
  <si>
    <t>年金所得</t>
    <rPh sb="0" eb="2">
      <t>ネンキン</t>
    </rPh>
    <rPh sb="2" eb="4">
      <t>ショトク</t>
    </rPh>
    <phoneticPr fontId="2"/>
  </si>
  <si>
    <t>給与所得</t>
    <rPh sb="0" eb="4">
      <t>キュウヨショトク</t>
    </rPh>
    <phoneticPr fontId="2"/>
  </si>
  <si>
    <t>年金収入</t>
    <rPh sb="0" eb="2">
      <t>ネンキン</t>
    </rPh>
    <rPh sb="2" eb="4">
      <t>シュウニュウ</t>
    </rPh>
    <phoneticPr fontId="2"/>
  </si>
  <si>
    <t>年金所得</t>
    <rPh sb="0" eb="2">
      <t>ネンキン</t>
    </rPh>
    <rPh sb="2" eb="4">
      <t>ショトク</t>
    </rPh>
    <phoneticPr fontId="2"/>
  </si>
  <si>
    <t>65歳未満</t>
    <rPh sb="2" eb="5">
      <t>サイミマン</t>
    </rPh>
    <phoneticPr fontId="2"/>
  </si>
  <si>
    <t>65歳以上</t>
    <rPh sb="2" eb="5">
      <t>サイイジョウ</t>
    </rPh>
    <phoneticPr fontId="2"/>
  </si>
  <si>
    <t>合計</t>
    <rPh sb="0" eb="2">
      <t>ゴウケイ</t>
    </rPh>
    <phoneticPr fontId="2"/>
  </si>
  <si>
    <t>給与所得者等の数</t>
    <rPh sb="0" eb="2">
      <t>キュウヨ</t>
    </rPh>
    <rPh sb="2" eb="4">
      <t>ショトク</t>
    </rPh>
    <rPh sb="4" eb="5">
      <t>シャ</t>
    </rPh>
    <rPh sb="5" eb="6">
      <t>トウ</t>
    </rPh>
    <rPh sb="7" eb="8">
      <t>カズ</t>
    </rPh>
    <phoneticPr fontId="2"/>
  </si>
  <si>
    <t>軽減判定用所得</t>
    <rPh sb="0" eb="2">
      <t>ケイゲン</t>
    </rPh>
    <rPh sb="2" eb="4">
      <t>ハンテイ</t>
    </rPh>
    <rPh sb="4" eb="5">
      <t>ヨウ</t>
    </rPh>
    <rPh sb="5" eb="7">
      <t>ショトク</t>
    </rPh>
    <phoneticPr fontId="2"/>
  </si>
  <si>
    <t>調整控除（参考）</t>
    <rPh sb="0" eb="2">
      <t>チョウセイ</t>
    </rPh>
    <rPh sb="2" eb="4">
      <t>コウジョ</t>
    </rPh>
    <rPh sb="5" eb="7">
      <t>サンコウ</t>
    </rPh>
    <phoneticPr fontId="2"/>
  </si>
  <si>
    <t>給与所得（調整控除後）</t>
    <rPh sb="0" eb="4">
      <t>キュウヨショトク</t>
    </rPh>
    <rPh sb="5" eb="10">
      <t>チョウセイコウジョゴ</t>
    </rPh>
    <phoneticPr fontId="2"/>
  </si>
  <si>
    <t>【非自発区分入力】</t>
    <rPh sb="1" eb="2">
      <t>ヒ</t>
    </rPh>
    <rPh sb="2" eb="4">
      <t>ジハツ</t>
    </rPh>
    <rPh sb="4" eb="6">
      <t>クブン</t>
    </rPh>
    <rPh sb="6" eb="8">
      <t>ニュウリョク</t>
    </rPh>
    <phoneticPr fontId="2"/>
  </si>
  <si>
    <t>【非自発区分判定】</t>
    <rPh sb="1" eb="2">
      <t>ヒ</t>
    </rPh>
    <rPh sb="2" eb="4">
      <t>ジハツ</t>
    </rPh>
    <rPh sb="4" eb="6">
      <t>クブン</t>
    </rPh>
    <rPh sb="6" eb="8">
      <t>ハンテイ</t>
    </rPh>
    <phoneticPr fontId="2"/>
  </si>
  <si>
    <t>【非自発考慮後給与】</t>
    <rPh sb="1" eb="2">
      <t>ヒ</t>
    </rPh>
    <rPh sb="2" eb="4">
      <t>ジハツ</t>
    </rPh>
    <rPh sb="4" eb="7">
      <t>コウリョゴ</t>
    </rPh>
    <rPh sb="7" eb="9">
      <t>キュウヨ</t>
    </rPh>
    <phoneticPr fontId="2"/>
  </si>
  <si>
    <t>世帯主</t>
    <rPh sb="0" eb="3">
      <t>セタイヌシ</t>
    </rPh>
    <phoneticPr fontId="2"/>
  </si>
  <si>
    <t>加入する</t>
    <rPh sb="0" eb="2">
      <t>カニュウ</t>
    </rPh>
    <phoneticPr fontId="2"/>
  </si>
  <si>
    <t>７５歳以上</t>
    <rPh sb="2" eb="3">
      <t>サイ</t>
    </rPh>
    <rPh sb="3" eb="5">
      <t>イジョウ</t>
    </rPh>
    <phoneticPr fontId="2"/>
  </si>
  <si>
    <t>世帯主加入</t>
    <rPh sb="0" eb="5">
      <t>セタイヌシカニュウ</t>
    </rPh>
    <phoneticPr fontId="2"/>
  </si>
  <si>
    <t>【世帯主年齢】</t>
    <rPh sb="1" eb="4">
      <t>セタイヌシ</t>
    </rPh>
    <rPh sb="4" eb="6">
      <t>ネンレイ</t>
    </rPh>
    <phoneticPr fontId="2"/>
  </si>
  <si>
    <t>【年齢判定】</t>
    <rPh sb="1" eb="5">
      <t>ネンレイハンテイ</t>
    </rPh>
    <phoneticPr fontId="2"/>
  </si>
  <si>
    <t>世帯主の年齢判定、人数判定、介護判定、各種所得情報の設定は加入者と違うので注意</t>
    <rPh sb="0" eb="3">
      <t>セタイヌシ</t>
    </rPh>
    <rPh sb="4" eb="8">
      <t>ネンレイハンテイ</t>
    </rPh>
    <rPh sb="9" eb="11">
      <t>ニンズウハ</t>
    </rPh>
    <rPh sb="11" eb="13">
      <t>ンテイ</t>
    </rPh>
    <rPh sb="14" eb="18">
      <t>カイゴハンテイ</t>
    </rPh>
    <rPh sb="19" eb="25">
      <t>カクシュショトクジョウホウ</t>
    </rPh>
    <rPh sb="26" eb="28">
      <t>セッテイ</t>
    </rPh>
    <rPh sb="29" eb="32">
      <t>カニュウシャ</t>
    </rPh>
    <phoneticPr fontId="2"/>
  </si>
  <si>
    <t>合計（医療）</t>
    <rPh sb="0" eb="2">
      <t>ゴウケイ</t>
    </rPh>
    <rPh sb="3" eb="5">
      <t>イリョウ</t>
    </rPh>
    <phoneticPr fontId="2"/>
  </si>
  <si>
    <t>合計（支援）</t>
    <rPh sb="0" eb="2">
      <t>ゴウケイ</t>
    </rPh>
    <rPh sb="3" eb="5">
      <t>シエン</t>
    </rPh>
    <phoneticPr fontId="2"/>
  </si>
  <si>
    <t>合計（介護）</t>
    <rPh sb="0" eb="2">
      <t>ゴウケイ</t>
    </rPh>
    <rPh sb="3" eb="5">
      <t>カイゴ</t>
    </rPh>
    <phoneticPr fontId="2"/>
  </si>
  <si>
    <t>合計</t>
    <rPh sb="0" eb="2">
      <t>ゴウケイ</t>
    </rPh>
    <phoneticPr fontId="2"/>
  </si>
  <si>
    <t>100円未満切捨て</t>
    <rPh sb="3" eb="6">
      <t>エンミマン</t>
    </rPh>
    <rPh sb="6" eb="8">
      <t>キリス</t>
    </rPh>
    <phoneticPr fontId="2"/>
  </si>
  <si>
    <t>多子減免後</t>
    <rPh sb="0" eb="5">
      <t>タシゲンメンゴ</t>
    </rPh>
    <phoneticPr fontId="2"/>
  </si>
  <si>
    <t>振り分け</t>
    <rPh sb="0" eb="1">
      <t>フ</t>
    </rPh>
    <rPh sb="2" eb="3">
      <t>ワ</t>
    </rPh>
    <phoneticPr fontId="2"/>
  </si>
  <si>
    <t>100円未満調整</t>
    <rPh sb="3" eb="6">
      <t>エンミマン</t>
    </rPh>
    <rPh sb="6" eb="8">
      <t>チョウセイ</t>
    </rPh>
    <phoneticPr fontId="2"/>
  </si>
  <si>
    <t>年齢区分</t>
    <phoneticPr fontId="2"/>
  </si>
  <si>
    <t>調整中</t>
    <rPh sb="0" eb="3">
      <t>チョウセイチュウ</t>
    </rPh>
    <phoneticPr fontId="2"/>
  </si>
  <si>
    <t>多子減免額（①－②）</t>
    <rPh sb="0" eb="5">
      <t>タシゲンメンガク</t>
    </rPh>
    <phoneticPr fontId="2"/>
  </si>
  <si>
    <t>・・・①</t>
    <phoneticPr fontId="2"/>
  </si>
  <si>
    <t>・・・②</t>
    <phoneticPr fontId="2"/>
  </si>
  <si>
    <t>　… (ウ)</t>
    <phoneticPr fontId="2"/>
  </si>
  <si>
    <t>　… (イ)</t>
    <phoneticPr fontId="2"/>
  </si>
  <si>
    <t>　… (ア)</t>
    <phoneticPr fontId="2"/>
  </si>
  <si>
    <t>４０歳から６４歳</t>
    <rPh sb="2" eb="3">
      <t>サイ</t>
    </rPh>
    <rPh sb="7" eb="8">
      <t>サイ</t>
    </rPh>
    <phoneticPr fontId="2"/>
  </si>
  <si>
    <t>６５歳から７４歳</t>
    <rPh sb="2" eb="3">
      <t>サイ</t>
    </rPh>
    <rPh sb="7" eb="8">
      <t>サイ</t>
    </rPh>
    <phoneticPr fontId="2"/>
  </si>
  <si>
    <t>子ども軽減</t>
    <rPh sb="0" eb="1">
      <t>コ</t>
    </rPh>
    <rPh sb="3" eb="5">
      <t>ケイゲン</t>
    </rPh>
    <phoneticPr fontId="2"/>
  </si>
  <si>
    <t>合計軽減額</t>
    <rPh sb="0" eb="2">
      <t>ゴウケイ</t>
    </rPh>
    <rPh sb="2" eb="4">
      <t>ケイゲン</t>
    </rPh>
    <rPh sb="4" eb="5">
      <t>ガク</t>
    </rPh>
    <phoneticPr fontId="2"/>
  </si>
  <si>
    <t>医療分減額額</t>
    <rPh sb="0" eb="3">
      <t>イリョウブン</t>
    </rPh>
    <rPh sb="3" eb="5">
      <t>ゲンガク</t>
    </rPh>
    <rPh sb="5" eb="6">
      <t>ガク</t>
    </rPh>
    <phoneticPr fontId="2"/>
  </si>
  <si>
    <t>支援分減額額</t>
    <rPh sb="0" eb="3">
      <t>シエンブン</t>
    </rPh>
    <rPh sb="3" eb="5">
      <t>ゲンガク</t>
    </rPh>
    <rPh sb="5" eb="6">
      <t>ガク</t>
    </rPh>
    <phoneticPr fontId="2"/>
  </si>
  <si>
    <t>０歳から未就学</t>
    <rPh sb="1" eb="2">
      <t>サイ</t>
    </rPh>
    <rPh sb="4" eb="5">
      <t>ミ</t>
    </rPh>
    <rPh sb="5" eb="7">
      <t>シュウガク</t>
    </rPh>
    <phoneticPr fontId="2"/>
  </si>
  <si>
    <t>多子減免前</t>
    <rPh sb="0" eb="5">
      <t>タシゲンメンマエ</t>
    </rPh>
    <phoneticPr fontId="2"/>
  </si>
  <si>
    <t>※基礎控除額
（43万円）</t>
    <rPh sb="10" eb="12">
      <t>マンエン</t>
    </rPh>
    <phoneticPr fontId="2"/>
  </si>
  <si>
    <t>40歳から64歳までの
加入者の基礎控除後の
総所得金額等</t>
    <rPh sb="7" eb="8">
      <t>サイ</t>
    </rPh>
    <phoneticPr fontId="2"/>
  </si>
  <si>
    <t xml:space="preserve">   非自発的
   失業者</t>
    <rPh sb="3" eb="4">
      <t>ヒ</t>
    </rPh>
    <rPh sb="4" eb="7">
      <t>ジハツテキ</t>
    </rPh>
    <rPh sb="11" eb="14">
      <t>シツギョウシャ</t>
    </rPh>
    <phoneticPr fontId="2"/>
  </si>
  <si>
    <t>… (ウ)</t>
    <phoneticPr fontId="2"/>
  </si>
  <si>
    <t>… (イ)</t>
    <phoneticPr fontId="2"/>
  </si>
  <si>
    <t>… (ア)</t>
    <phoneticPr fontId="2"/>
  </si>
  <si>
    <t>未就学児</t>
    <rPh sb="0" eb="1">
      <t>ミ</t>
    </rPh>
    <rPh sb="1" eb="3">
      <t>シュウガク</t>
    </rPh>
    <rPh sb="3" eb="4">
      <t>ジ</t>
    </rPh>
    <phoneticPr fontId="2"/>
  </si>
  <si>
    <r>
      <rPr>
        <b/>
        <sz val="11"/>
        <rFont val="Meiryo UI"/>
        <family val="3"/>
        <charset val="128"/>
      </rPr>
      <t xml:space="preserve"> </t>
    </r>
    <r>
      <rPr>
        <sz val="9"/>
        <rFont val="Meiryo UI"/>
        <family val="3"/>
        <charset val="128"/>
      </rPr>
      <t>(ア)＋(イ)＋(ウ)</t>
    </r>
    <phoneticPr fontId="2"/>
  </si>
  <si>
    <t>| |</t>
    <phoneticPr fontId="2"/>
  </si>
  <si>
    <r>
      <t>…　</t>
    </r>
    <r>
      <rPr>
        <sz val="12"/>
        <rFont val="Meiryo UI"/>
        <family val="3"/>
        <charset val="128"/>
      </rPr>
      <t>②</t>
    </r>
    <phoneticPr fontId="2"/>
  </si>
  <si>
    <r>
      <t>…　</t>
    </r>
    <r>
      <rPr>
        <sz val="12"/>
        <rFont val="Meiryo UI"/>
        <family val="3"/>
        <charset val="128"/>
      </rPr>
      <t>①</t>
    </r>
    <phoneticPr fontId="2"/>
  </si>
  <si>
    <r>
      <t>　…　</t>
    </r>
    <r>
      <rPr>
        <sz val="12"/>
        <rFont val="Meiryo UI"/>
        <family val="3"/>
        <charset val="128"/>
      </rPr>
      <t>③</t>
    </r>
    <phoneticPr fontId="2"/>
  </si>
  <si>
    <t>均等割と世帯割を７割減額しています。</t>
    <rPh sb="0" eb="3">
      <t>キントウワ</t>
    </rPh>
    <rPh sb="4" eb="6">
      <t>セタイ</t>
    </rPh>
    <rPh sb="6" eb="7">
      <t>ワリ</t>
    </rPh>
    <rPh sb="9" eb="10">
      <t>ワリ</t>
    </rPh>
    <rPh sb="10" eb="12">
      <t>ゲンガク</t>
    </rPh>
    <phoneticPr fontId="2"/>
  </si>
  <si>
    <t>均等割と世帯割を５割減額しています。</t>
    <rPh sb="9" eb="10">
      <t>ワリ</t>
    </rPh>
    <rPh sb="10" eb="12">
      <t>ゲンガク</t>
    </rPh>
    <phoneticPr fontId="2"/>
  </si>
  <si>
    <t>均等割と世帯割を２割減額しています。</t>
    <rPh sb="10" eb="12">
      <t>ゲンガク</t>
    </rPh>
    <phoneticPr fontId="2"/>
  </si>
  <si>
    <t>小学生から３９歳</t>
    <rPh sb="0" eb="3">
      <t>ショウガクセイ</t>
    </rPh>
    <rPh sb="7" eb="8">
      <t>サイ</t>
    </rPh>
    <phoneticPr fontId="2"/>
  </si>
  <si>
    <t>平等割</t>
    <rPh sb="0" eb="2">
      <t>ビョウドウ</t>
    </rPh>
    <rPh sb="2" eb="3">
      <t>ワリ</t>
    </rPh>
    <phoneticPr fontId="2"/>
  </si>
  <si>
    <t>平等割</t>
    <rPh sb="0" eb="2">
      <t>ビョウドウ</t>
    </rPh>
    <phoneticPr fontId="2"/>
  </si>
  <si>
    <t>年間保険税</t>
    <rPh sb="0" eb="2">
      <t>ネンカン</t>
    </rPh>
    <rPh sb="2" eb="4">
      <t>ホケン</t>
    </rPh>
    <rPh sb="4" eb="5">
      <t>ゼイ</t>
    </rPh>
    <phoneticPr fontId="2"/>
  </si>
  <si>
    <t>（年間保険税／12か月）</t>
    <rPh sb="1" eb="3">
      <t>ネンカン</t>
    </rPh>
    <rPh sb="3" eb="5">
      <t>ホケン</t>
    </rPh>
    <rPh sb="5" eb="6">
      <t>ゼイ</t>
    </rPh>
    <rPh sb="10" eb="11">
      <t>ゲツ</t>
    </rPh>
    <phoneticPr fontId="2"/>
  </si>
  <si>
    <t>1か月あたりの保険税</t>
    <rPh sb="2" eb="3">
      <t>ゲツ</t>
    </rPh>
    <rPh sb="7" eb="9">
      <t>ホケン</t>
    </rPh>
    <rPh sb="9" eb="10">
      <t>ゼイ</t>
    </rPh>
    <phoneticPr fontId="2"/>
  </si>
  <si>
    <t>保険税</t>
    <rPh sb="2" eb="3">
      <t>ゼイ</t>
    </rPh>
    <phoneticPr fontId="2"/>
  </si>
  <si>
    <t xml:space="preserve"> 保険税</t>
    <rPh sb="3" eb="4">
      <t>ゼイ</t>
    </rPh>
    <phoneticPr fontId="2"/>
  </si>
  <si>
    <t>1か月あたりの保険税　（年間保険税／12か月）</t>
    <rPh sb="2" eb="3">
      <t>ゲツ</t>
    </rPh>
    <rPh sb="7" eb="9">
      <t>ホケン</t>
    </rPh>
    <rPh sb="9" eb="10">
      <t>ゼイ</t>
    </rPh>
    <rPh sb="12" eb="14">
      <t>ネンカン</t>
    </rPh>
    <rPh sb="14" eb="16">
      <t>ホケン</t>
    </rPh>
    <rPh sb="16" eb="17">
      <t>ゼイ</t>
    </rPh>
    <rPh sb="21" eb="22">
      <t>ゲツ</t>
    </rPh>
    <phoneticPr fontId="2"/>
  </si>
  <si>
    <t>調整控除（65以上軽減用）</t>
    <rPh sb="0" eb="2">
      <t>チョウセイ</t>
    </rPh>
    <rPh sb="2" eb="4">
      <t>コウジョ</t>
    </rPh>
    <rPh sb="7" eb="9">
      <t>イジョウ</t>
    </rPh>
    <rPh sb="9" eb="12">
      <t>ケイゲンヨウ</t>
    </rPh>
    <phoneticPr fontId="2"/>
  </si>
  <si>
    <t>給与所得（調整控除後）（65以上軽減用）</t>
    <phoneticPr fontId="2"/>
  </si>
  <si>
    <t>年金所得（軽減判定）</t>
    <rPh sb="0" eb="2">
      <t>ネンキン</t>
    </rPh>
    <rPh sb="2" eb="4">
      <t>ショトク</t>
    </rPh>
    <rPh sb="5" eb="9">
      <t>ケイゲンハンテイ</t>
    </rPh>
    <phoneticPr fontId="2"/>
  </si>
  <si>
    <t>子ども・子育て支援分</t>
    <rPh sb="0" eb="1">
      <t>コ</t>
    </rPh>
    <rPh sb="3" eb="9">
      <t>テンコソダテシエン</t>
    </rPh>
    <rPh sb="9" eb="10">
      <t>ブン</t>
    </rPh>
    <phoneticPr fontId="2"/>
  </si>
  <si>
    <t>１８歳以上均等割</t>
    <rPh sb="2" eb="5">
      <t>サイイジョウ</t>
    </rPh>
    <rPh sb="5" eb="8">
      <t>キントウワリ</t>
    </rPh>
    <phoneticPr fontId="2"/>
  </si>
  <si>
    <t>18歳以上均等割</t>
    <rPh sb="2" eb="5">
      <t>サイイジョウ</t>
    </rPh>
    <rPh sb="5" eb="7">
      <t>キントウ</t>
    </rPh>
    <rPh sb="7" eb="8">
      <t>ワリ</t>
    </rPh>
    <phoneticPr fontId="2"/>
  </si>
  <si>
    <t>―</t>
    <phoneticPr fontId="2"/>
  </si>
  <si>
    <t>18歳以上均等割</t>
    <rPh sb="2" eb="5">
      <t>サイイジョウ</t>
    </rPh>
    <rPh sb="5" eb="8">
      <t>キントウワ</t>
    </rPh>
    <phoneticPr fontId="2"/>
  </si>
  <si>
    <t>均等割（子ども子育て支援金）</t>
    <rPh sb="0" eb="3">
      <t>キントウワ</t>
    </rPh>
    <rPh sb="4" eb="5">
      <t>コ</t>
    </rPh>
    <rPh sb="7" eb="9">
      <t>コソダ</t>
    </rPh>
    <rPh sb="10" eb="13">
      <t>シエンキン</t>
    </rPh>
    <phoneticPr fontId="2"/>
  </si>
  <si>
    <t>子ども子育て分減額額</t>
    <rPh sb="0" eb="1">
      <t>コ</t>
    </rPh>
    <rPh sb="3" eb="5">
      <t>コソダ</t>
    </rPh>
    <rPh sb="6" eb="7">
      <t>ブン</t>
    </rPh>
    <rPh sb="7" eb="9">
      <t>ゲンガク</t>
    </rPh>
    <rPh sb="9" eb="10">
      <t>ガク</t>
    </rPh>
    <phoneticPr fontId="2"/>
  </si>
  <si>
    <t>18歳以上均等割</t>
    <rPh sb="2" eb="5">
      <t>サイイジョウ</t>
    </rPh>
    <rPh sb="5" eb="8">
      <t>キントウワリ</t>
    </rPh>
    <phoneticPr fontId="2"/>
  </si>
  <si>
    <t xml:space="preserve"> (ア)＋(イ)＋(ウ)</t>
    <phoneticPr fontId="2"/>
  </si>
  <si>
    <t>…　④</t>
    <phoneticPr fontId="2"/>
  </si>
  <si>
    <t>年間保険税　【①+②+③+④】</t>
    <rPh sb="0" eb="2">
      <t>ネンカン</t>
    </rPh>
    <rPh sb="2" eb="4">
      <t>ホケン</t>
    </rPh>
    <rPh sb="4" eb="5">
      <t>ゼイ</t>
    </rPh>
    <phoneticPr fontId="2"/>
  </si>
  <si>
    <t>　　　　　子ども・子育て
　　　　 支援金分</t>
    <rPh sb="5" eb="6">
      <t>コ</t>
    </rPh>
    <rPh sb="9" eb="11">
      <t>コソダ</t>
    </rPh>
    <rPh sb="18" eb="21">
      <t>シエンキン</t>
    </rPh>
    <phoneticPr fontId="2"/>
  </si>
  <si>
    <t>所得割（子ども子育て）</t>
    <rPh sb="0" eb="2">
      <t>ショトク</t>
    </rPh>
    <rPh sb="2" eb="3">
      <t>ワリ</t>
    </rPh>
    <rPh sb="4" eb="5">
      <t>コ</t>
    </rPh>
    <rPh sb="7" eb="9">
      <t>コソダ</t>
    </rPh>
    <phoneticPr fontId="2"/>
  </si>
  <si>
    <t>―</t>
  </si>
  <si>
    <t>18歳以上加入者合計</t>
    <rPh sb="2" eb="5">
      <t>サイイジョウ</t>
    </rPh>
    <rPh sb="5" eb="8">
      <t>カニュウシャ</t>
    </rPh>
    <rPh sb="8" eb="10">
      <t>ゴウケイ</t>
    </rPh>
    <phoneticPr fontId="2"/>
  </si>
  <si>
    <t>１８歳以上
（高校卒業から該当）</t>
    <rPh sb="2" eb="5">
      <t>サイイジョウ</t>
    </rPh>
    <rPh sb="7" eb="9">
      <t>コウコウ</t>
    </rPh>
    <rPh sb="9" eb="11">
      <t>ソツギョウ</t>
    </rPh>
    <rPh sb="13" eb="15">
      <t>ガイトウ</t>
    </rPh>
    <phoneticPr fontId="2"/>
  </si>
  <si>
    <t>１８歳以上はTRUE（学年）</t>
    <rPh sb="2" eb="5">
      <t>サイイジョウ</t>
    </rPh>
    <rPh sb="11" eb="13">
      <t>ガクネン</t>
    </rPh>
    <phoneticPr fontId="2"/>
  </si>
  <si>
    <t>１８歳以上1人につき</t>
    <rPh sb="2" eb="5">
      <t>サイイジョウ</t>
    </rPh>
    <rPh sb="6" eb="7">
      <t>ヒト</t>
    </rPh>
    <phoneticPr fontId="2"/>
  </si>
  <si>
    <t>平等割（医療）</t>
    <rPh sb="0" eb="2">
      <t>ビョウドウ</t>
    </rPh>
    <rPh sb="2" eb="3">
      <t>ワリ</t>
    </rPh>
    <rPh sb="4" eb="6">
      <t>イリョウ</t>
    </rPh>
    <phoneticPr fontId="2"/>
  </si>
  <si>
    <t>平等割（支援）</t>
    <rPh sb="0" eb="2">
      <t>ビョウドウ</t>
    </rPh>
    <rPh sb="2" eb="3">
      <t>ワリ</t>
    </rPh>
    <rPh sb="4" eb="6">
      <t>シエン</t>
    </rPh>
    <phoneticPr fontId="2"/>
  </si>
  <si>
    <t>平等割（介護）</t>
    <rPh sb="0" eb="2">
      <t>ビョウドウ</t>
    </rPh>
    <rPh sb="2" eb="3">
      <t>ワリ</t>
    </rPh>
    <rPh sb="4" eb="6">
      <t>カイゴ</t>
    </rPh>
    <phoneticPr fontId="2"/>
  </si>
  <si>
    <t>平等割（子ども子育て支援金）</t>
    <rPh sb="0" eb="2">
      <t>ビョウドウ</t>
    </rPh>
    <rPh sb="2" eb="3">
      <t>ワリ</t>
    </rPh>
    <rPh sb="4" eb="5">
      <t>コ</t>
    </rPh>
    <rPh sb="7" eb="9">
      <t>コソダ</t>
    </rPh>
    <rPh sb="10" eb="13">
      <t>シエンキン</t>
    </rPh>
    <phoneticPr fontId="2"/>
  </si>
  <si>
    <t>修正したところ・・・赤字</t>
    <rPh sb="0" eb="2">
      <t>シュウセイ</t>
    </rPh>
    <rPh sb="10" eb="11">
      <t>アカ</t>
    </rPh>
    <rPh sb="11" eb="12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</si>
</sst>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&quot;円&quot;;&quot;▲ &quot;#,##0&quot;円&quot;"/>
    <numFmt numFmtId="177" formatCode="General&quot;人&quot;"/>
    <numFmt numFmtId="178" formatCode="#,##0_ &quot;年度&quot;"/>
    <numFmt numFmtId="179" formatCode="#,##0.0000_ ;[Red]\-#,##0.0000\ "/>
    <numFmt numFmtId="180" formatCode="#,##0_ "/>
    <numFmt numFmtId="181" formatCode="#,##0&quot;人&quot;"/>
    <numFmt numFmtId="182" formatCode="#,##0_);[Red]\(#,##0\)"/>
    <numFmt numFmtId="183" formatCode="#,##0_ ;[Red]\-#,##0\ "/>
    <numFmt numFmtId="184" formatCode="#,##0.00000_);[Red]\(#,##0.00000\)"/>
    <numFmt numFmtId="185" formatCode="0.0;[Red]0.0"/>
    <numFmt numFmtId="186" formatCode="#,##0;[Red]#,##0"/>
  </numFmts>
  <fonts count="6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indexed="22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sz val="11"/>
      <color indexed="9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11"/>
      <color indexed="23"/>
      <name val="Meiryo UI"/>
      <family val="3"/>
      <charset val="128"/>
    </font>
    <font>
      <b/>
      <sz val="11"/>
      <color indexed="23"/>
      <name val="Meiryo UI"/>
      <family val="3"/>
      <charset val="128"/>
    </font>
    <font>
      <b/>
      <sz val="8"/>
      <color indexed="23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1"/>
      <color indexed="63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1"/>
      <color indexed="10"/>
      <name val="Meiryo UI"/>
      <family val="3"/>
      <charset val="128"/>
    </font>
    <font>
      <sz val="10"/>
      <color indexed="23"/>
      <name val="Meiryo UI"/>
      <family val="3"/>
      <charset val="128"/>
    </font>
    <font>
      <sz val="10"/>
      <color theme="0" tint="-0.499984740745262"/>
      <name val="Meiryo UI"/>
      <family val="3"/>
      <charset val="128"/>
    </font>
    <font>
      <b/>
      <sz val="11"/>
      <color indexed="62"/>
      <name val="Meiryo UI"/>
      <family val="3"/>
      <charset val="128"/>
    </font>
    <font>
      <b/>
      <sz val="16"/>
      <name val="Meiryo UI"/>
      <family val="3"/>
      <charset val="128"/>
    </font>
    <font>
      <sz val="11"/>
      <color indexed="8"/>
      <name val="Meiryo UI"/>
      <family val="3"/>
      <charset val="128"/>
    </font>
    <font>
      <sz val="13"/>
      <name val="Meiryo UI"/>
      <family val="3"/>
      <charset val="128"/>
    </font>
    <font>
      <sz val="9"/>
      <name val="Meiryo UI"/>
      <family val="3"/>
      <charset val="128"/>
    </font>
    <font>
      <b/>
      <sz val="16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8"/>
      <color indexed="1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name val="Meiryo UI"/>
      <family val="3"/>
      <charset val="128"/>
    </font>
    <font>
      <sz val="9"/>
      <name val="ＭＳ Ｐゴシック"/>
      <family val="3"/>
      <charset val="128"/>
    </font>
    <font>
      <sz val="8"/>
      <name val="Meiryo UI"/>
      <family val="3"/>
      <charset val="128"/>
    </font>
    <font>
      <sz val="11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6"/>
      <color indexed="10"/>
      <name val="Meiryo UI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23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8"/>
      <name val="Meiryo UI"/>
      <family val="3"/>
      <charset val="128"/>
    </font>
    <font>
      <b/>
      <sz val="8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ＭＳ Ｐゴシック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</fills>
  <borders count="1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dotted">
        <color indexed="22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dotted">
        <color indexed="23"/>
      </right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/>
      <right style="thin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indexed="22"/>
      </left>
      <right/>
      <top style="dotted">
        <color indexed="22"/>
      </top>
      <bottom style="dotted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dotted">
        <color indexed="22"/>
      </top>
      <bottom/>
      <diagonal/>
    </border>
    <border>
      <left style="thin">
        <color indexed="22"/>
      </left>
      <right style="thin">
        <color indexed="22"/>
      </right>
      <top style="dotted">
        <color indexed="22"/>
      </top>
      <bottom style="dotted">
        <color indexed="22"/>
      </bottom>
      <diagonal/>
    </border>
    <border>
      <left/>
      <right/>
      <top style="dotted">
        <color indexed="22"/>
      </top>
      <bottom/>
      <diagonal/>
    </border>
    <border>
      <left/>
      <right/>
      <top style="dotted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dotted">
        <color indexed="22"/>
      </bottom>
      <diagonal/>
    </border>
    <border>
      <left style="thin">
        <color indexed="22"/>
      </left>
      <right/>
      <top/>
      <bottom style="dotted">
        <color indexed="22"/>
      </bottom>
      <diagonal/>
    </border>
    <border>
      <left/>
      <right style="thin">
        <color indexed="22"/>
      </right>
      <top/>
      <bottom style="dotted">
        <color indexed="22"/>
      </bottom>
      <diagonal/>
    </border>
    <border>
      <left/>
      <right style="thin">
        <color indexed="9"/>
      </right>
      <top style="dotted">
        <color indexed="22"/>
      </top>
      <bottom style="dotted">
        <color indexed="22"/>
      </bottom>
      <diagonal/>
    </border>
    <border>
      <left style="thin">
        <color indexed="9"/>
      </left>
      <right style="thin">
        <color indexed="9"/>
      </right>
      <top style="dotted">
        <color indexed="22"/>
      </top>
      <bottom style="dotted">
        <color indexed="22"/>
      </bottom>
      <diagonal/>
    </border>
    <border>
      <left/>
      <right/>
      <top style="thin">
        <color indexed="9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dotted">
        <color indexed="23"/>
      </left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ashed">
        <color indexed="22"/>
      </bottom>
      <diagonal/>
    </border>
    <border>
      <left style="thin">
        <color indexed="22"/>
      </left>
      <right style="thin">
        <color indexed="22"/>
      </right>
      <top style="dashed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55"/>
      </top>
      <bottom style="thin">
        <color indexed="55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23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55"/>
      </left>
      <right/>
      <top style="medium">
        <color indexed="55"/>
      </top>
      <bottom style="thin">
        <color indexed="55"/>
      </bottom>
      <diagonal/>
    </border>
    <border>
      <left/>
      <right/>
      <top style="medium">
        <color indexed="55"/>
      </top>
      <bottom style="thin">
        <color indexed="55"/>
      </bottom>
      <diagonal/>
    </border>
    <border>
      <left/>
      <right style="medium">
        <color indexed="55"/>
      </right>
      <top style="medium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 style="dotted">
        <color indexed="22"/>
      </top>
      <bottom style="dotted">
        <color indexed="22"/>
      </bottom>
      <diagonal/>
    </border>
    <border>
      <left style="thin">
        <color indexed="55"/>
      </left>
      <right/>
      <top/>
      <bottom style="double">
        <color indexed="55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dotted">
        <color indexed="55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hair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hair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double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/>
      <diagonal/>
    </border>
    <border>
      <left style="thin">
        <color indexed="55"/>
      </left>
      <right/>
      <top/>
      <bottom style="dotted">
        <color indexed="22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55"/>
      </left>
      <right/>
      <top style="dotted">
        <color indexed="22"/>
      </top>
      <bottom/>
      <diagonal/>
    </border>
    <border>
      <left style="thin">
        <color indexed="22"/>
      </left>
      <right/>
      <top style="dotted">
        <color indexed="22"/>
      </top>
      <bottom/>
      <diagonal/>
    </border>
    <border>
      <left style="thin">
        <color indexed="55"/>
      </left>
      <right/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 style="thin">
        <color indexed="55"/>
      </left>
      <right/>
      <top style="thin">
        <color indexed="64"/>
      </top>
      <bottom/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9"/>
      </left>
      <right style="thin">
        <color indexed="9"/>
      </right>
      <top style="dotted">
        <color indexed="22"/>
      </top>
      <bottom/>
      <diagonal/>
    </border>
    <border>
      <left style="thin">
        <color indexed="55"/>
      </left>
      <right/>
      <top/>
      <bottom style="dotted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indexed="22"/>
      </right>
      <top style="dotted">
        <color indexed="22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/>
      <diagonal/>
    </border>
    <border>
      <left style="thin">
        <color indexed="55"/>
      </left>
      <right/>
      <top style="dotted">
        <color rgb="FFC0C0C0"/>
      </top>
      <bottom style="dotted">
        <color indexed="22"/>
      </bottom>
      <diagonal/>
    </border>
    <border>
      <left/>
      <right/>
      <top style="dotted">
        <color rgb="FFC0C0C0"/>
      </top>
      <bottom/>
      <diagonal/>
    </border>
    <border>
      <left/>
      <right/>
      <top style="dotted">
        <color rgb="FFC0C0C0"/>
      </top>
      <bottom style="dotted">
        <color rgb="FFC0C0C0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</borders>
  <cellStyleXfs count="45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596">
    <xf numFmtId="0" fontId="0" fillId="0" borderId="0" xfId="0">
      <alignment vertical="center"/>
    </xf>
    <xf numFmtId="0" fontId="20" fillId="24" borderId="0" xfId="0" applyFont="1" applyFill="1">
      <alignment vertical="center"/>
    </xf>
    <xf numFmtId="0" fontId="21" fillId="24" borderId="0" xfId="0" applyFont="1" applyFill="1">
      <alignment vertical="center"/>
    </xf>
    <xf numFmtId="0" fontId="22" fillId="24" borderId="0" xfId="0" applyFont="1" applyFill="1">
      <alignment vertical="center"/>
    </xf>
    <xf numFmtId="180" fontId="20" fillId="24" borderId="0" xfId="0" applyNumberFormat="1" applyFont="1" applyFill="1" applyProtection="1">
      <alignment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20" fillId="24" borderId="0" xfId="0" applyFont="1" applyFill="1" applyAlignment="1">
      <alignment horizontal="right" vertical="center"/>
    </xf>
    <xf numFmtId="0" fontId="20" fillId="24" borderId="20" xfId="0" applyFont="1" applyFill="1" applyBorder="1">
      <alignment vertical="center"/>
    </xf>
    <xf numFmtId="0" fontId="37" fillId="24" borderId="0" xfId="0" applyFont="1" applyFill="1" applyAlignment="1">
      <alignment horizontal="right" vertical="center"/>
    </xf>
    <xf numFmtId="0" fontId="38" fillId="24" borderId="0" xfId="0" applyFont="1" applyFill="1">
      <alignment vertical="center"/>
    </xf>
    <xf numFmtId="0" fontId="20" fillId="24" borderId="0" xfId="0" applyFont="1" applyFill="1" applyAlignment="1">
      <alignment horizontal="center" vertical="center"/>
    </xf>
    <xf numFmtId="0" fontId="34" fillId="24" borderId="0" xfId="0" applyFont="1" applyFill="1">
      <alignment vertical="center"/>
    </xf>
    <xf numFmtId="0" fontId="20" fillId="24" borderId="22" xfId="0" applyFont="1" applyFill="1" applyBorder="1">
      <alignment vertical="center"/>
    </xf>
    <xf numFmtId="0" fontId="20" fillId="24" borderId="23" xfId="0" applyFont="1" applyFill="1" applyBorder="1">
      <alignment vertical="center"/>
    </xf>
    <xf numFmtId="0" fontId="20" fillId="24" borderId="24" xfId="0" applyFont="1" applyFill="1" applyBorder="1">
      <alignment vertical="center"/>
    </xf>
    <xf numFmtId="0" fontId="20" fillId="28" borderId="0" xfId="0" applyFont="1" applyFill="1" applyAlignment="1">
      <alignment horizontal="center" vertical="center"/>
    </xf>
    <xf numFmtId="176" fontId="40" fillId="28" borderId="0" xfId="33" applyNumberFormat="1" applyFont="1" applyFill="1" applyBorder="1">
      <alignment vertical="center"/>
    </xf>
    <xf numFmtId="0" fontId="20" fillId="28" borderId="0" xfId="0" applyFont="1" applyFill="1" applyAlignment="1">
      <alignment horizontal="right" vertical="center"/>
    </xf>
    <xf numFmtId="176" fontId="40" fillId="28" borderId="0" xfId="0" applyNumberFormat="1" applyFont="1" applyFill="1">
      <alignment vertical="center"/>
    </xf>
    <xf numFmtId="10" fontId="20" fillId="28" borderId="27" xfId="0" applyNumberFormat="1" applyFont="1" applyFill="1" applyBorder="1">
      <alignment vertical="center"/>
    </xf>
    <xf numFmtId="0" fontId="20" fillId="28" borderId="27" xfId="0" applyFont="1" applyFill="1" applyBorder="1" applyAlignment="1">
      <alignment horizontal="center" vertical="center"/>
    </xf>
    <xf numFmtId="0" fontId="20" fillId="28" borderId="27" xfId="0" applyFont="1" applyFill="1" applyBorder="1">
      <alignment vertical="center"/>
    </xf>
    <xf numFmtId="0" fontId="20" fillId="24" borderId="33" xfId="0" applyFont="1" applyFill="1" applyBorder="1" applyAlignment="1">
      <alignment horizontal="center" vertical="center"/>
    </xf>
    <xf numFmtId="176" fontId="40" fillId="24" borderId="45" xfId="33" applyNumberFormat="1" applyFont="1" applyFill="1" applyBorder="1">
      <alignment vertical="center"/>
    </xf>
    <xf numFmtId="0" fontId="20" fillId="24" borderId="33" xfId="0" applyFont="1" applyFill="1" applyBorder="1" applyAlignment="1">
      <alignment horizontal="right" vertical="center"/>
    </xf>
    <xf numFmtId="176" fontId="40" fillId="24" borderId="46" xfId="0" applyNumberFormat="1" applyFont="1" applyFill="1" applyBorder="1">
      <alignment vertical="center"/>
    </xf>
    <xf numFmtId="0" fontId="20" fillId="24" borderId="40" xfId="0" applyFont="1" applyFill="1" applyBorder="1">
      <alignment vertical="center"/>
    </xf>
    <xf numFmtId="0" fontId="20" fillId="24" borderId="35" xfId="0" applyFont="1" applyFill="1" applyBorder="1">
      <alignment vertical="center"/>
    </xf>
    <xf numFmtId="0" fontId="20" fillId="28" borderId="33" xfId="0" applyFont="1" applyFill="1" applyBorder="1" applyAlignment="1">
      <alignment horizontal="center" vertical="center"/>
    </xf>
    <xf numFmtId="176" fontId="40" fillId="28" borderId="33" xfId="33" applyNumberFormat="1" applyFont="1" applyFill="1" applyBorder="1">
      <alignment vertical="center"/>
    </xf>
    <xf numFmtId="0" fontId="20" fillId="28" borderId="33" xfId="0" applyFont="1" applyFill="1" applyBorder="1" applyAlignment="1">
      <alignment horizontal="right" vertical="center"/>
    </xf>
    <xf numFmtId="176" fontId="40" fillId="28" borderId="33" xfId="0" applyNumberFormat="1" applyFont="1" applyFill="1" applyBorder="1">
      <alignment vertical="center"/>
    </xf>
    <xf numFmtId="0" fontId="20" fillId="28" borderId="34" xfId="0" applyFont="1" applyFill="1" applyBorder="1" applyAlignment="1">
      <alignment horizontal="center" vertical="center"/>
    </xf>
    <xf numFmtId="0" fontId="20" fillId="28" borderId="38" xfId="0" applyFont="1" applyFill="1" applyBorder="1">
      <alignment vertical="center"/>
    </xf>
    <xf numFmtId="0" fontId="20" fillId="28" borderId="35" xfId="0" applyFont="1" applyFill="1" applyBorder="1">
      <alignment vertical="center"/>
    </xf>
    <xf numFmtId="176" fontId="40" fillId="24" borderId="17" xfId="0" applyNumberFormat="1" applyFont="1" applyFill="1" applyBorder="1">
      <alignment vertical="center"/>
    </xf>
    <xf numFmtId="0" fontId="20" fillId="24" borderId="39" xfId="0" applyFont="1" applyFill="1" applyBorder="1">
      <alignment vertical="center"/>
    </xf>
    <xf numFmtId="176" fontId="40" fillId="24" borderId="33" xfId="33" applyNumberFormat="1" applyFont="1" applyFill="1" applyBorder="1">
      <alignment vertical="center"/>
    </xf>
    <xf numFmtId="176" fontId="40" fillId="24" borderId="33" xfId="0" applyNumberFormat="1" applyFont="1" applyFill="1" applyBorder="1">
      <alignment vertical="center"/>
    </xf>
    <xf numFmtId="0" fontId="20" fillId="24" borderId="21" xfId="0" applyFont="1" applyFill="1" applyBorder="1" applyAlignment="1">
      <alignment horizontal="center" vertical="center"/>
    </xf>
    <xf numFmtId="0" fontId="41" fillId="24" borderId="21" xfId="0" applyFont="1" applyFill="1" applyBorder="1">
      <alignment vertical="center"/>
    </xf>
    <xf numFmtId="0" fontId="20" fillId="24" borderId="21" xfId="0" applyFont="1" applyFill="1" applyBorder="1">
      <alignment vertical="center"/>
    </xf>
    <xf numFmtId="176" fontId="20" fillId="24" borderId="21" xfId="0" applyNumberFormat="1" applyFont="1" applyFill="1" applyBorder="1">
      <alignment vertical="center"/>
    </xf>
    <xf numFmtId="0" fontId="20" fillId="24" borderId="25" xfId="0" applyFont="1" applyFill="1" applyBorder="1">
      <alignment vertical="center"/>
    </xf>
    <xf numFmtId="0" fontId="20" fillId="28" borderId="0" xfId="0" applyFont="1" applyFill="1">
      <alignment vertical="center"/>
    </xf>
    <xf numFmtId="176" fontId="40" fillId="24" borderId="46" xfId="33" applyNumberFormat="1" applyFont="1" applyFill="1" applyBorder="1">
      <alignment vertical="center"/>
    </xf>
    <xf numFmtId="0" fontId="20" fillId="28" borderId="36" xfId="0" applyFont="1" applyFill="1" applyBorder="1" applyAlignment="1">
      <alignment horizontal="center" vertical="center"/>
    </xf>
    <xf numFmtId="0" fontId="20" fillId="28" borderId="37" xfId="0" applyFont="1" applyFill="1" applyBorder="1" applyAlignment="1">
      <alignment horizontal="center" vertical="center"/>
    </xf>
    <xf numFmtId="0" fontId="20" fillId="24" borderId="34" xfId="0" applyFont="1" applyFill="1" applyBorder="1" applyAlignment="1">
      <alignment horizontal="center" vertical="center"/>
    </xf>
    <xf numFmtId="0" fontId="20" fillId="24" borderId="35" xfId="0" applyFont="1" applyFill="1" applyBorder="1" applyAlignment="1">
      <alignment horizontal="center" vertical="center"/>
    </xf>
    <xf numFmtId="0" fontId="41" fillId="24" borderId="0" xfId="0" applyFont="1" applyFill="1">
      <alignment vertical="center"/>
    </xf>
    <xf numFmtId="176" fontId="20" fillId="24" borderId="0" xfId="0" applyNumberFormat="1" applyFont="1" applyFill="1">
      <alignment vertical="center"/>
    </xf>
    <xf numFmtId="0" fontId="22" fillId="24" borderId="0" xfId="0" applyFont="1" applyFill="1" applyAlignment="1">
      <alignment horizontal="center" vertical="center"/>
    </xf>
    <xf numFmtId="0" fontId="20" fillId="24" borderId="0" xfId="0" applyFont="1" applyFill="1" applyAlignment="1">
      <alignment horizontal="left" vertical="center"/>
    </xf>
    <xf numFmtId="176" fontId="40" fillId="28" borderId="47" xfId="33" applyNumberFormat="1" applyFont="1" applyFill="1" applyBorder="1">
      <alignment vertical="center"/>
    </xf>
    <xf numFmtId="176" fontId="40" fillId="28" borderId="47" xfId="0" applyNumberFormat="1" applyFont="1" applyFill="1" applyBorder="1">
      <alignment vertical="center"/>
    </xf>
    <xf numFmtId="0" fontId="20" fillId="28" borderId="44" xfId="0" applyFont="1" applyFill="1" applyBorder="1" applyAlignment="1">
      <alignment horizontal="center" vertical="center"/>
    </xf>
    <xf numFmtId="0" fontId="20" fillId="28" borderId="43" xfId="0" applyFont="1" applyFill="1" applyBorder="1">
      <alignment vertical="center"/>
    </xf>
    <xf numFmtId="0" fontId="20" fillId="24" borderId="41" xfId="0" applyFont="1" applyFill="1" applyBorder="1">
      <alignment vertical="center"/>
    </xf>
    <xf numFmtId="0" fontId="20" fillId="28" borderId="39" xfId="0" applyFont="1" applyFill="1" applyBorder="1" applyAlignment="1">
      <alignment horizontal="center" vertical="center"/>
    </xf>
    <xf numFmtId="0" fontId="20" fillId="24" borderId="39" xfId="0" applyFont="1" applyFill="1" applyBorder="1" applyAlignment="1">
      <alignment horizontal="center" vertical="center"/>
    </xf>
    <xf numFmtId="0" fontId="20" fillId="28" borderId="42" xfId="0" applyFont="1" applyFill="1" applyBorder="1">
      <alignment vertical="center"/>
    </xf>
    <xf numFmtId="0" fontId="20" fillId="0" borderId="0" xfId="0" applyFont="1">
      <alignment vertical="center"/>
    </xf>
    <xf numFmtId="0" fontId="40" fillId="24" borderId="0" xfId="0" applyFont="1" applyFill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30" fillId="24" borderId="20" xfId="0" applyFont="1" applyFill="1" applyBorder="1" applyAlignment="1">
      <alignment horizontal="right" vertical="center"/>
    </xf>
    <xf numFmtId="0" fontId="22" fillId="24" borderId="20" xfId="0" applyFont="1" applyFill="1" applyBorder="1">
      <alignment vertical="center"/>
    </xf>
    <xf numFmtId="0" fontId="30" fillId="24" borderId="0" xfId="0" applyFont="1" applyFill="1" applyAlignment="1">
      <alignment horizontal="right" vertical="center"/>
    </xf>
    <xf numFmtId="176" fontId="44" fillId="24" borderId="0" xfId="0" applyNumberFormat="1" applyFont="1" applyFill="1" applyAlignment="1">
      <alignment horizontal="center" vertical="center"/>
    </xf>
    <xf numFmtId="0" fontId="44" fillId="24" borderId="0" xfId="0" applyFont="1" applyFill="1" applyAlignment="1">
      <alignment horizontal="center" vertical="center"/>
    </xf>
    <xf numFmtId="176" fontId="33" fillId="24" borderId="0" xfId="0" applyNumberFormat="1" applyFont="1" applyFill="1" applyAlignment="1">
      <alignment horizontal="right" vertical="center"/>
    </xf>
    <xf numFmtId="0" fontId="31" fillId="29" borderId="48" xfId="0" applyFont="1" applyFill="1" applyBorder="1" applyAlignment="1">
      <alignment horizontal="left" vertical="center" indent="1"/>
    </xf>
    <xf numFmtId="0" fontId="30" fillId="29" borderId="28" xfId="0" applyFont="1" applyFill="1" applyBorder="1" applyAlignment="1">
      <alignment horizontal="left" vertical="center" indent="1"/>
    </xf>
    <xf numFmtId="0" fontId="30" fillId="29" borderId="29" xfId="0" applyFont="1" applyFill="1" applyBorder="1" applyAlignment="1">
      <alignment horizontal="left" vertical="center" indent="1"/>
    </xf>
    <xf numFmtId="0" fontId="30" fillId="29" borderId="30" xfId="0" applyFont="1" applyFill="1" applyBorder="1" applyAlignment="1">
      <alignment horizontal="left" vertical="center" indent="1"/>
    </xf>
    <xf numFmtId="0" fontId="30" fillId="29" borderId="31" xfId="0" applyFont="1" applyFill="1" applyBorder="1" applyAlignment="1">
      <alignment horizontal="left" vertical="center" indent="1"/>
    </xf>
    <xf numFmtId="0" fontId="20" fillId="0" borderId="11" xfId="0" applyFont="1" applyBorder="1">
      <alignment vertical="center"/>
    </xf>
    <xf numFmtId="38" fontId="20" fillId="0" borderId="11" xfId="33" applyFont="1" applyBorder="1">
      <alignment vertical="center"/>
    </xf>
    <xf numFmtId="0" fontId="25" fillId="0" borderId="0" xfId="43" applyFont="1">
      <alignment vertical="center"/>
    </xf>
    <xf numFmtId="0" fontId="39" fillId="0" borderId="0" xfId="43" applyFont="1">
      <alignment vertical="center"/>
    </xf>
    <xf numFmtId="38" fontId="20" fillId="0" borderId="11" xfId="33" applyFont="1" applyBorder="1" applyAlignment="1">
      <alignment horizontal="center" vertical="center"/>
    </xf>
    <xf numFmtId="179" fontId="34" fillId="31" borderId="11" xfId="33" applyNumberFormat="1" applyFont="1" applyFill="1" applyBorder="1" applyAlignment="1">
      <alignment vertical="center"/>
    </xf>
    <xf numFmtId="179" fontId="34" fillId="26" borderId="11" xfId="33" applyNumberFormat="1" applyFont="1" applyFill="1" applyBorder="1" applyAlignment="1">
      <alignment vertical="center"/>
    </xf>
    <xf numFmtId="179" fontId="34" fillId="30" borderId="11" xfId="33" applyNumberFormat="1" applyFont="1" applyFill="1" applyBorder="1" applyAlignment="1">
      <alignment vertical="center"/>
    </xf>
    <xf numFmtId="0" fontId="20" fillId="32" borderId="11" xfId="0" applyFont="1" applyFill="1" applyBorder="1">
      <alignment vertical="center"/>
    </xf>
    <xf numFmtId="0" fontId="20" fillId="0" borderId="11" xfId="43" applyFont="1" applyBorder="1" applyAlignment="1">
      <alignment horizontal="right" vertical="center"/>
    </xf>
    <xf numFmtId="0" fontId="39" fillId="0" borderId="11" xfId="43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/>
    </xf>
    <xf numFmtId="0" fontId="39" fillId="0" borderId="0" xfId="43" applyFont="1" applyAlignment="1">
      <alignment horizontal="right" vertical="center"/>
    </xf>
    <xf numFmtId="0" fontId="39" fillId="0" borderId="0" xfId="43" applyFont="1" applyAlignment="1" applyProtection="1">
      <alignment horizontal="right" vertical="center"/>
      <protection locked="0"/>
    </xf>
    <xf numFmtId="180" fontId="39" fillId="0" borderId="0" xfId="43" applyNumberFormat="1" applyFont="1" applyAlignment="1">
      <alignment horizontal="right" vertical="center"/>
    </xf>
    <xf numFmtId="0" fontId="39" fillId="0" borderId="14" xfId="43" applyFont="1" applyBorder="1" applyAlignment="1">
      <alignment horizontal="right" vertical="center"/>
    </xf>
    <xf numFmtId="0" fontId="39" fillId="0" borderId="0" xfId="43" applyFont="1" applyAlignment="1"/>
    <xf numFmtId="181" fontId="20" fillId="0" borderId="11" xfId="42" applyNumberFormat="1" applyFont="1" applyBorder="1" applyAlignment="1">
      <alignment horizontal="center" vertical="center"/>
    </xf>
    <xf numFmtId="38" fontId="20" fillId="0" borderId="11" xfId="33" applyFont="1" applyFill="1" applyBorder="1" applyAlignment="1">
      <alignment vertical="center"/>
    </xf>
    <xf numFmtId="180" fontId="39" fillId="0" borderId="11" xfId="43" applyNumberFormat="1" applyFont="1" applyBorder="1" applyAlignment="1">
      <alignment horizontal="center" vertical="center"/>
    </xf>
    <xf numFmtId="0" fontId="39" fillId="0" borderId="11" xfId="43" applyFont="1" applyBorder="1">
      <alignment vertical="center"/>
    </xf>
    <xf numFmtId="0" fontId="39" fillId="0" borderId="11" xfId="43" applyFont="1" applyBorder="1" applyAlignment="1">
      <alignment horizontal="center" vertical="center"/>
    </xf>
    <xf numFmtId="0" fontId="20" fillId="0" borderId="14" xfId="0" applyFont="1" applyBorder="1">
      <alignment vertical="center"/>
    </xf>
    <xf numFmtId="0" fontId="20" fillId="0" borderId="15" xfId="0" applyFont="1" applyBorder="1">
      <alignment vertical="center"/>
    </xf>
    <xf numFmtId="0" fontId="20" fillId="0" borderId="16" xfId="0" applyFont="1" applyBorder="1">
      <alignment vertical="center"/>
    </xf>
    <xf numFmtId="38" fontId="20" fillId="0" borderId="0" xfId="33" applyFont="1">
      <alignment vertical="center"/>
    </xf>
    <xf numFmtId="38" fontId="34" fillId="0" borderId="0" xfId="33" applyFont="1" applyFill="1" applyAlignment="1"/>
    <xf numFmtId="38" fontId="34" fillId="0" borderId="0" xfId="33" applyFont="1" applyAlignment="1"/>
    <xf numFmtId="38" fontId="39" fillId="0" borderId="11" xfId="33" applyFont="1" applyBorder="1">
      <alignment vertical="center"/>
    </xf>
    <xf numFmtId="0" fontId="20" fillId="26" borderId="72" xfId="0" applyFont="1" applyFill="1" applyBorder="1" applyAlignment="1">
      <alignment horizontal="center" vertical="center"/>
    </xf>
    <xf numFmtId="0" fontId="25" fillId="26" borderId="72" xfId="0" applyFont="1" applyFill="1" applyBorder="1" applyAlignment="1">
      <alignment horizontal="left" vertical="center"/>
    </xf>
    <xf numFmtId="38" fontId="39" fillId="0" borderId="74" xfId="33" applyFont="1" applyFill="1" applyBorder="1" applyAlignment="1">
      <alignment horizontal="right" vertical="center"/>
    </xf>
    <xf numFmtId="38" fontId="20" fillId="0" borderId="0" xfId="0" applyNumberFormat="1" applyFont="1">
      <alignment vertical="center"/>
    </xf>
    <xf numFmtId="38" fontId="20" fillId="0" borderId="0" xfId="33" applyFont="1" applyBorder="1">
      <alignment vertical="center"/>
    </xf>
    <xf numFmtId="38" fontId="39" fillId="0" borderId="0" xfId="33" applyFont="1" applyFill="1" applyBorder="1" applyAlignment="1">
      <alignment horizontal="right" vertical="center"/>
    </xf>
    <xf numFmtId="0" fontId="46" fillId="0" borderId="0" xfId="0" applyFont="1">
      <alignment vertical="center"/>
    </xf>
    <xf numFmtId="0" fontId="44" fillId="24" borderId="0" xfId="0" applyFont="1" applyFill="1">
      <alignment vertical="center"/>
    </xf>
    <xf numFmtId="0" fontId="20" fillId="35" borderId="11" xfId="0" applyFont="1" applyFill="1" applyBorder="1" applyAlignment="1">
      <alignment horizontal="center" vertical="center"/>
    </xf>
    <xf numFmtId="0" fontId="20" fillId="35" borderId="11" xfId="0" applyFont="1" applyFill="1" applyBorder="1">
      <alignment vertical="center"/>
    </xf>
    <xf numFmtId="0" fontId="20" fillId="35" borderId="0" xfId="0" applyFont="1" applyFill="1" applyAlignment="1">
      <alignment horizontal="left" vertical="center"/>
    </xf>
    <xf numFmtId="0" fontId="20" fillId="35" borderId="0" xfId="0" applyFont="1" applyFill="1">
      <alignment vertical="center"/>
    </xf>
    <xf numFmtId="184" fontId="20" fillId="35" borderId="0" xfId="0" applyNumberFormat="1" applyFont="1" applyFill="1">
      <alignment vertical="center"/>
    </xf>
    <xf numFmtId="0" fontId="20" fillId="24" borderId="89" xfId="0" applyFont="1" applyFill="1" applyBorder="1" applyAlignment="1">
      <alignment horizontal="right" vertical="center"/>
    </xf>
    <xf numFmtId="0" fontId="20" fillId="24" borderId="89" xfId="0" applyFont="1" applyFill="1" applyBorder="1">
      <alignment vertical="center"/>
    </xf>
    <xf numFmtId="0" fontId="20" fillId="24" borderId="90" xfId="0" applyFont="1" applyFill="1" applyBorder="1">
      <alignment vertical="center"/>
    </xf>
    <xf numFmtId="0" fontId="20" fillId="24" borderId="72" xfId="0" applyFont="1" applyFill="1" applyBorder="1">
      <alignment vertical="center"/>
    </xf>
    <xf numFmtId="0" fontId="20" fillId="24" borderId="72" xfId="0" applyFont="1" applyFill="1" applyBorder="1" applyAlignment="1">
      <alignment horizontal="center" vertical="center"/>
    </xf>
    <xf numFmtId="0" fontId="43" fillId="24" borderId="72" xfId="0" applyFont="1" applyFill="1" applyBorder="1">
      <alignment vertical="center"/>
    </xf>
    <xf numFmtId="0" fontId="25" fillId="24" borderId="72" xfId="0" applyFont="1" applyFill="1" applyBorder="1" applyAlignment="1">
      <alignment horizontal="right" vertical="center"/>
    </xf>
    <xf numFmtId="0" fontId="30" fillId="26" borderId="90" xfId="0" applyFont="1" applyFill="1" applyBorder="1">
      <alignment vertical="center"/>
    </xf>
    <xf numFmtId="0" fontId="30" fillId="27" borderId="90" xfId="0" applyFont="1" applyFill="1" applyBorder="1">
      <alignment vertical="center"/>
    </xf>
    <xf numFmtId="0" fontId="20" fillId="27" borderId="72" xfId="0" applyFont="1" applyFill="1" applyBorder="1" applyAlignment="1">
      <alignment horizontal="center" vertical="center"/>
    </xf>
    <xf numFmtId="0" fontId="25" fillId="27" borderId="89" xfId="0" applyFont="1" applyFill="1" applyBorder="1" applyAlignment="1">
      <alignment horizontal="left" vertical="center"/>
    </xf>
    <xf numFmtId="0" fontId="20" fillId="25" borderId="89" xfId="0" applyFont="1" applyFill="1" applyBorder="1">
      <alignment vertical="center"/>
    </xf>
    <xf numFmtId="0" fontId="25" fillId="27" borderId="91" xfId="0" applyFont="1" applyFill="1" applyBorder="1" applyAlignment="1">
      <alignment horizontal="left" vertical="center"/>
    </xf>
    <xf numFmtId="0" fontId="20" fillId="24" borderId="95" xfId="0" applyFont="1" applyFill="1" applyBorder="1" applyAlignment="1">
      <alignment horizontal="center" vertical="center"/>
    </xf>
    <xf numFmtId="0" fontId="20" fillId="24" borderId="96" xfId="0" applyFont="1" applyFill="1" applyBorder="1" applyAlignment="1">
      <alignment horizontal="center" vertical="center"/>
    </xf>
    <xf numFmtId="0" fontId="20" fillId="28" borderId="96" xfId="0" applyFont="1" applyFill="1" applyBorder="1">
      <alignment vertical="center"/>
    </xf>
    <xf numFmtId="0" fontId="20" fillId="24" borderId="97" xfId="0" applyFont="1" applyFill="1" applyBorder="1">
      <alignment vertical="center"/>
    </xf>
    <xf numFmtId="0" fontId="20" fillId="28" borderId="97" xfId="0" applyFont="1" applyFill="1" applyBorder="1">
      <alignment vertical="center"/>
    </xf>
    <xf numFmtId="0" fontId="20" fillId="24" borderId="96" xfId="0" applyFont="1" applyFill="1" applyBorder="1">
      <alignment vertical="center"/>
    </xf>
    <xf numFmtId="0" fontId="20" fillId="24" borderId="73" xfId="0" applyFont="1" applyFill="1" applyBorder="1" applyAlignment="1">
      <alignment horizontal="center" vertical="center"/>
    </xf>
    <xf numFmtId="0" fontId="41" fillId="24" borderId="96" xfId="0" applyFont="1" applyFill="1" applyBorder="1" applyAlignment="1">
      <alignment horizontal="center" vertical="center"/>
    </xf>
    <xf numFmtId="0" fontId="20" fillId="35" borderId="11" xfId="42" applyFont="1" applyFill="1" applyBorder="1" applyAlignment="1">
      <alignment vertical="center"/>
    </xf>
    <xf numFmtId="0" fontId="20" fillId="35" borderId="11" xfId="42" applyFont="1" applyFill="1" applyBorder="1" applyAlignment="1">
      <alignment horizontal="center" vertical="center"/>
    </xf>
    <xf numFmtId="178" fontId="39" fillId="35" borderId="10" xfId="43" applyNumberFormat="1" applyFont="1" applyFill="1" applyBorder="1" applyAlignment="1">
      <alignment horizontal="center" vertical="center" wrapText="1"/>
    </xf>
    <xf numFmtId="0" fontId="39" fillId="35" borderId="10" xfId="43" applyFont="1" applyFill="1" applyBorder="1" applyAlignment="1">
      <alignment horizontal="center" vertical="center" wrapText="1"/>
    </xf>
    <xf numFmtId="0" fontId="39" fillId="35" borderId="11" xfId="43" applyFont="1" applyFill="1" applyBorder="1" applyAlignment="1">
      <alignment horizontal="center" vertical="center" wrapText="1"/>
    </xf>
    <xf numFmtId="0" fontId="25" fillId="24" borderId="72" xfId="0" applyFont="1" applyFill="1" applyBorder="1">
      <alignment vertical="center"/>
    </xf>
    <xf numFmtId="182" fontId="20" fillId="0" borderId="0" xfId="33" applyNumberFormat="1" applyFont="1" applyFill="1">
      <alignment vertical="center"/>
    </xf>
    <xf numFmtId="186" fontId="39" fillId="0" borderId="11" xfId="33" applyNumberFormat="1" applyFont="1" applyBorder="1" applyAlignment="1">
      <alignment horizontal="right" vertical="center"/>
    </xf>
    <xf numFmtId="186" fontId="20" fillId="0" borderId="0" xfId="0" applyNumberFormat="1" applyFont="1">
      <alignment vertical="center"/>
    </xf>
    <xf numFmtId="186" fontId="20" fillId="35" borderId="0" xfId="0" applyNumberFormat="1" applyFont="1" applyFill="1">
      <alignment vertical="center"/>
    </xf>
    <xf numFmtId="186" fontId="20" fillId="0" borderId="83" xfId="0" applyNumberFormat="1" applyFont="1" applyBorder="1">
      <alignment vertical="center"/>
    </xf>
    <xf numFmtId="0" fontId="25" fillId="24" borderId="0" xfId="0" applyFont="1" applyFill="1">
      <alignment vertical="center"/>
    </xf>
    <xf numFmtId="176" fontId="31" fillId="24" borderId="0" xfId="0" applyNumberFormat="1" applyFont="1" applyFill="1" applyAlignment="1">
      <alignment horizontal="right" vertical="center"/>
    </xf>
    <xf numFmtId="0" fontId="51" fillId="0" borderId="0" xfId="0" applyFont="1">
      <alignment vertical="center"/>
    </xf>
    <xf numFmtId="0" fontId="20" fillId="28" borderId="96" xfId="0" applyFont="1" applyFill="1" applyBorder="1" applyAlignment="1">
      <alignment horizontal="center" vertical="center"/>
    </xf>
    <xf numFmtId="0" fontId="20" fillId="28" borderId="0" xfId="0" applyFont="1" applyFill="1" applyAlignment="1">
      <alignment horizontal="left" vertical="center"/>
    </xf>
    <xf numFmtId="0" fontId="26" fillId="28" borderId="0" xfId="0" applyFont="1" applyFill="1" applyAlignment="1">
      <alignment horizontal="right" vertical="center"/>
    </xf>
    <xf numFmtId="177" fontId="40" fillId="28" borderId="0" xfId="0" applyNumberFormat="1" applyFont="1" applyFill="1">
      <alignment vertical="center"/>
    </xf>
    <xf numFmtId="0" fontId="46" fillId="24" borderId="0" xfId="0" applyFont="1" applyFill="1">
      <alignment vertical="center"/>
    </xf>
    <xf numFmtId="0" fontId="52" fillId="0" borderId="0" xfId="43" applyFont="1">
      <alignment vertical="center"/>
    </xf>
    <xf numFmtId="0" fontId="30" fillId="28" borderId="0" xfId="0" applyFont="1" applyFill="1" applyAlignment="1">
      <alignment horizontal="left" vertical="center"/>
    </xf>
    <xf numFmtId="176" fontId="40" fillId="28" borderId="0" xfId="0" applyNumberFormat="1" applyFont="1" applyFill="1" applyAlignment="1">
      <alignment horizontal="right" vertical="center"/>
    </xf>
    <xf numFmtId="176" fontId="40" fillId="24" borderId="0" xfId="0" applyNumberFormat="1" applyFont="1" applyFill="1">
      <alignment vertical="center"/>
    </xf>
    <xf numFmtId="0" fontId="20" fillId="29" borderId="32" xfId="0" applyFont="1" applyFill="1" applyBorder="1" applyAlignment="1">
      <alignment horizontal="left" vertical="center" indent="2"/>
    </xf>
    <xf numFmtId="0" fontId="25" fillId="26" borderId="91" xfId="0" applyFont="1" applyFill="1" applyBorder="1" applyAlignment="1">
      <alignment horizontal="left" vertical="center"/>
    </xf>
    <xf numFmtId="0" fontId="25" fillId="24" borderId="0" xfId="0" applyFont="1" applyFill="1" applyAlignment="1">
      <alignment horizontal="right" vertical="center"/>
    </xf>
    <xf numFmtId="176" fontId="42" fillId="0" borderId="72" xfId="0" applyNumberFormat="1" applyFont="1" applyBorder="1" applyAlignment="1">
      <alignment horizontal="right" vertical="center"/>
    </xf>
    <xf numFmtId="176" fontId="53" fillId="0" borderId="72" xfId="0" applyNumberFormat="1" applyFont="1" applyBorder="1">
      <alignment vertical="center"/>
    </xf>
    <xf numFmtId="176" fontId="42" fillId="0" borderId="72" xfId="0" applyNumberFormat="1" applyFont="1" applyBorder="1">
      <alignment vertical="center"/>
    </xf>
    <xf numFmtId="0" fontId="30" fillId="27" borderId="0" xfId="0" applyFont="1" applyFill="1">
      <alignment vertical="center"/>
    </xf>
    <xf numFmtId="0" fontId="25" fillId="26" borderId="89" xfId="0" applyFont="1" applyFill="1" applyBorder="1" applyAlignment="1">
      <alignment horizontal="left" vertical="center"/>
    </xf>
    <xf numFmtId="0" fontId="30" fillId="26" borderId="90" xfId="0" applyFont="1" applyFill="1" applyBorder="1" applyAlignment="1">
      <alignment horizontal="center" vertical="center"/>
    </xf>
    <xf numFmtId="0" fontId="30" fillId="27" borderId="90" xfId="0" applyFont="1" applyFill="1" applyBorder="1" applyAlignment="1">
      <alignment horizontal="center" vertical="center"/>
    </xf>
    <xf numFmtId="0" fontId="25" fillId="25" borderId="72" xfId="0" applyFont="1" applyFill="1" applyBorder="1">
      <alignment vertical="center"/>
    </xf>
    <xf numFmtId="0" fontId="25" fillId="27" borderId="72" xfId="0" applyFont="1" applyFill="1" applyBorder="1">
      <alignment vertical="center"/>
    </xf>
    <xf numFmtId="186" fontId="39" fillId="0" borderId="121" xfId="43" applyNumberFormat="1" applyFont="1" applyBorder="1" applyAlignment="1">
      <alignment horizontal="right" vertical="center"/>
    </xf>
    <xf numFmtId="176" fontId="40" fillId="28" borderId="108" xfId="0" applyNumberFormat="1" applyFont="1" applyFill="1" applyBorder="1" applyAlignment="1">
      <alignment horizontal="right" vertical="center"/>
    </xf>
    <xf numFmtId="0" fontId="30" fillId="25" borderId="96" xfId="0" applyFont="1" applyFill="1" applyBorder="1" applyAlignment="1">
      <alignment horizontal="center" vertical="center"/>
    </xf>
    <xf numFmtId="0" fontId="30" fillId="25" borderId="73" xfId="0" applyFont="1" applyFill="1" applyBorder="1" applyAlignment="1">
      <alignment horizontal="center" vertical="center"/>
    </xf>
    <xf numFmtId="0" fontId="30" fillId="27" borderId="96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0" fillId="28" borderId="0" xfId="0" applyFont="1" applyFill="1" applyAlignment="1">
      <alignment horizontal="center" vertical="center"/>
    </xf>
    <xf numFmtId="0" fontId="20" fillId="24" borderId="123" xfId="0" applyFont="1" applyFill="1" applyBorder="1" applyAlignment="1">
      <alignment horizontal="center" vertical="center"/>
    </xf>
    <xf numFmtId="0" fontId="20" fillId="24" borderId="27" xfId="0" applyFont="1" applyFill="1" applyBorder="1">
      <alignment vertical="center"/>
    </xf>
    <xf numFmtId="0" fontId="20" fillId="24" borderId="27" xfId="0" applyFont="1" applyFill="1" applyBorder="1" applyAlignment="1">
      <alignment horizontal="center" vertical="center"/>
    </xf>
    <xf numFmtId="0" fontId="26" fillId="24" borderId="27" xfId="0" applyFont="1" applyFill="1" applyBorder="1">
      <alignment vertical="center"/>
    </xf>
    <xf numFmtId="176" fontId="40" fillId="24" borderId="27" xfId="0" applyNumberFormat="1" applyFont="1" applyFill="1" applyBorder="1">
      <alignment vertical="center"/>
    </xf>
    <xf numFmtId="177" fontId="40" fillId="24" borderId="27" xfId="0" applyNumberFormat="1" applyFont="1" applyFill="1" applyBorder="1">
      <alignment vertical="center"/>
    </xf>
    <xf numFmtId="0" fontId="30" fillId="27" borderId="124" xfId="0" applyFont="1" applyFill="1" applyBorder="1" applyAlignment="1">
      <alignment horizontal="center" vertical="center"/>
    </xf>
    <xf numFmtId="0" fontId="20" fillId="24" borderId="124" xfId="0" applyFont="1" applyFill="1" applyBorder="1" applyAlignment="1">
      <alignment horizontal="center" vertical="center"/>
    </xf>
    <xf numFmtId="0" fontId="41" fillId="24" borderId="119" xfId="0" applyFont="1" applyFill="1" applyBorder="1">
      <alignment vertical="center"/>
    </xf>
    <xf numFmtId="0" fontId="20" fillId="24" borderId="119" xfId="0" applyFont="1" applyFill="1" applyBorder="1" applyAlignment="1">
      <alignment horizontal="center" vertical="center"/>
    </xf>
    <xf numFmtId="0" fontId="20" fillId="24" borderId="119" xfId="0" applyFont="1" applyFill="1" applyBorder="1">
      <alignment vertical="center"/>
    </xf>
    <xf numFmtId="176" fontId="20" fillId="24" borderId="119" xfId="0" applyNumberFormat="1" applyFont="1" applyFill="1" applyBorder="1">
      <alignment vertical="center"/>
    </xf>
    <xf numFmtId="0" fontId="20" fillId="24" borderId="125" xfId="0" applyFont="1" applyFill="1" applyBorder="1">
      <alignment vertical="center"/>
    </xf>
    <xf numFmtId="0" fontId="20" fillId="24" borderId="127" xfId="0" applyFont="1" applyFill="1" applyBorder="1">
      <alignment vertical="center"/>
    </xf>
    <xf numFmtId="176" fontId="40" fillId="24" borderId="40" xfId="33" applyNumberFormat="1" applyFont="1" applyFill="1" applyBorder="1">
      <alignment vertical="center"/>
    </xf>
    <xf numFmtId="0" fontId="20" fillId="24" borderId="40" xfId="0" applyFont="1" applyFill="1" applyBorder="1" applyAlignment="1">
      <alignment horizontal="right" vertical="center"/>
    </xf>
    <xf numFmtId="176" fontId="40" fillId="24" borderId="40" xfId="0" applyNumberFormat="1" applyFont="1" applyFill="1" applyBorder="1">
      <alignment vertical="center"/>
    </xf>
    <xf numFmtId="0" fontId="20" fillId="24" borderId="40" xfId="0" applyFont="1" applyFill="1" applyBorder="1" applyAlignment="1">
      <alignment horizontal="center" vertical="center"/>
    </xf>
    <xf numFmtId="0" fontId="20" fillId="24" borderId="128" xfId="0" applyFont="1" applyFill="1" applyBorder="1">
      <alignment vertical="center"/>
    </xf>
    <xf numFmtId="0" fontId="0" fillId="38" borderId="107" xfId="0" applyFill="1" applyBorder="1" applyAlignment="1">
      <alignment horizontal="center" vertical="center"/>
    </xf>
    <xf numFmtId="0" fontId="20" fillId="28" borderId="129" xfId="0" applyFont="1" applyFill="1" applyBorder="1" applyAlignment="1">
      <alignment horizontal="center" vertical="center"/>
    </xf>
    <xf numFmtId="0" fontId="20" fillId="28" borderId="108" xfId="0" applyFont="1" applyFill="1" applyBorder="1" applyAlignment="1">
      <alignment horizontal="left" vertical="center"/>
    </xf>
    <xf numFmtId="0" fontId="26" fillId="28" borderId="108" xfId="0" applyFont="1" applyFill="1" applyBorder="1" applyAlignment="1">
      <alignment horizontal="right" vertical="center"/>
    </xf>
    <xf numFmtId="0" fontId="26" fillId="28" borderId="108" xfId="0" applyFont="1" applyFill="1" applyBorder="1" applyAlignment="1">
      <alignment horizontal="left" vertical="center"/>
    </xf>
    <xf numFmtId="0" fontId="20" fillId="28" borderId="108" xfId="0" applyFont="1" applyFill="1" applyBorder="1" applyAlignment="1">
      <alignment horizontal="center" vertical="center"/>
    </xf>
    <xf numFmtId="177" fontId="20" fillId="28" borderId="108" xfId="0" applyNumberFormat="1" applyFont="1" applyFill="1" applyBorder="1" applyAlignment="1">
      <alignment horizontal="center" vertical="center"/>
    </xf>
    <xf numFmtId="177" fontId="40" fillId="28" borderId="108" xfId="0" applyNumberFormat="1" applyFont="1" applyFill="1" applyBorder="1">
      <alignment vertical="center"/>
    </xf>
    <xf numFmtId="0" fontId="26" fillId="24" borderId="130" xfId="0" applyFont="1" applyFill="1" applyBorder="1">
      <alignment vertical="center"/>
    </xf>
    <xf numFmtId="0" fontId="20" fillId="24" borderId="130" xfId="0" applyFont="1" applyFill="1" applyBorder="1" applyAlignment="1">
      <alignment horizontal="center" vertical="center"/>
    </xf>
    <xf numFmtId="176" fontId="40" fillId="24" borderId="130" xfId="0" applyNumberFormat="1" applyFont="1" applyFill="1" applyBorder="1">
      <alignment vertical="center"/>
    </xf>
    <xf numFmtId="0" fontId="20" fillId="24" borderId="130" xfId="0" applyFont="1" applyFill="1" applyBorder="1">
      <alignment vertical="center"/>
    </xf>
    <xf numFmtId="0" fontId="40" fillId="24" borderId="130" xfId="0" applyFont="1" applyFill="1" applyBorder="1" applyAlignment="1">
      <alignment horizontal="center" vertical="center"/>
    </xf>
    <xf numFmtId="0" fontId="0" fillId="38" borderId="98" xfId="0" applyFill="1" applyBorder="1" applyAlignment="1">
      <alignment horizontal="center" vertical="center"/>
    </xf>
    <xf numFmtId="0" fontId="20" fillId="24" borderId="98" xfId="0" applyFont="1" applyFill="1" applyBorder="1" applyAlignment="1">
      <alignment horizontal="center" vertical="center"/>
    </xf>
    <xf numFmtId="0" fontId="41" fillId="24" borderId="120" xfId="0" applyFont="1" applyFill="1" applyBorder="1">
      <alignment vertical="center"/>
    </xf>
    <xf numFmtId="0" fontId="20" fillId="24" borderId="120" xfId="0" applyFont="1" applyFill="1" applyBorder="1" applyAlignment="1">
      <alignment horizontal="center" vertical="center"/>
    </xf>
    <xf numFmtId="0" fontId="20" fillId="24" borderId="120" xfId="0" applyFont="1" applyFill="1" applyBorder="1">
      <alignment vertical="center"/>
    </xf>
    <xf numFmtId="176" fontId="20" fillId="24" borderId="120" xfId="0" applyNumberFormat="1" applyFont="1" applyFill="1" applyBorder="1">
      <alignment vertical="center"/>
    </xf>
    <xf numFmtId="0" fontId="20" fillId="24" borderId="132" xfId="0" applyFont="1" applyFill="1" applyBorder="1">
      <alignment vertical="center"/>
    </xf>
    <xf numFmtId="176" fontId="40" fillId="24" borderId="133" xfId="33" applyNumberFormat="1" applyFont="1" applyFill="1" applyBorder="1">
      <alignment vertical="center"/>
    </xf>
    <xf numFmtId="176" fontId="40" fillId="24" borderId="133" xfId="0" applyNumberFormat="1" applyFont="1" applyFill="1" applyBorder="1">
      <alignment vertical="center"/>
    </xf>
    <xf numFmtId="0" fontId="20" fillId="24" borderId="134" xfId="0" applyFont="1" applyFill="1" applyBorder="1" applyAlignment="1">
      <alignment horizontal="center" vertical="center"/>
    </xf>
    <xf numFmtId="0" fontId="20" fillId="0" borderId="130" xfId="0" applyFont="1" applyBorder="1">
      <alignment vertical="center"/>
    </xf>
    <xf numFmtId="177" fontId="40" fillId="24" borderId="130" xfId="0" applyNumberFormat="1" applyFont="1" applyFill="1" applyBorder="1">
      <alignment vertical="center"/>
    </xf>
    <xf numFmtId="0" fontId="30" fillId="26" borderId="135" xfId="0" applyFont="1" applyFill="1" applyBorder="1" applyAlignment="1">
      <alignment horizontal="center" vertical="center"/>
    </xf>
    <xf numFmtId="0" fontId="20" fillId="24" borderId="135" xfId="0" applyFont="1" applyFill="1" applyBorder="1" applyAlignment="1">
      <alignment horizontal="center" vertical="center"/>
    </xf>
    <xf numFmtId="0" fontId="41" fillId="24" borderId="136" xfId="0" applyFont="1" applyFill="1" applyBorder="1">
      <alignment vertical="center"/>
    </xf>
    <xf numFmtId="0" fontId="20" fillId="24" borderId="136" xfId="0" applyFont="1" applyFill="1" applyBorder="1" applyAlignment="1">
      <alignment horizontal="center" vertical="center"/>
    </xf>
    <xf numFmtId="0" fontId="20" fillId="24" borderId="136" xfId="0" applyFont="1" applyFill="1" applyBorder="1">
      <alignment vertical="center"/>
    </xf>
    <xf numFmtId="176" fontId="20" fillId="24" borderId="136" xfId="0" applyNumberFormat="1" applyFont="1" applyFill="1" applyBorder="1">
      <alignment vertical="center"/>
    </xf>
    <xf numFmtId="0" fontId="20" fillId="24" borderId="137" xfId="0" applyFont="1" applyFill="1" applyBorder="1">
      <alignment vertical="center"/>
    </xf>
    <xf numFmtId="0" fontId="0" fillId="36" borderId="73" xfId="0" applyFill="1" applyBorder="1" applyAlignment="1">
      <alignment horizontal="center" vertical="center"/>
    </xf>
    <xf numFmtId="0" fontId="30" fillId="36" borderId="135" xfId="0" applyFont="1" applyFill="1" applyBorder="1" applyAlignment="1">
      <alignment horizontal="center" vertical="center"/>
    </xf>
    <xf numFmtId="0" fontId="0" fillId="36" borderId="98" xfId="0" applyFill="1" applyBorder="1" applyAlignment="1">
      <alignment horizontal="center" vertical="center"/>
    </xf>
    <xf numFmtId="0" fontId="26" fillId="24" borderId="0" xfId="0" applyFont="1" applyFill="1">
      <alignment vertical="center"/>
    </xf>
    <xf numFmtId="177" fontId="40" fillId="24" borderId="0" xfId="0" applyNumberFormat="1" applyFont="1" applyFill="1">
      <alignment vertical="center"/>
    </xf>
    <xf numFmtId="0" fontId="30" fillId="25" borderId="135" xfId="0" applyFont="1" applyFill="1" applyBorder="1" applyAlignment="1">
      <alignment horizontal="center" vertical="center"/>
    </xf>
    <xf numFmtId="0" fontId="20" fillId="24" borderId="138" xfId="0" applyFont="1" applyFill="1" applyBorder="1" applyAlignment="1">
      <alignment horizontal="center" vertical="center"/>
    </xf>
    <xf numFmtId="0" fontId="30" fillId="28" borderId="108" xfId="0" applyFont="1" applyFill="1" applyBorder="1">
      <alignment vertical="center"/>
    </xf>
    <xf numFmtId="176" fontId="40" fillId="28" borderId="108" xfId="0" applyNumberFormat="1" applyFont="1" applyFill="1" applyBorder="1">
      <alignment vertical="center"/>
    </xf>
    <xf numFmtId="0" fontId="20" fillId="28" borderId="108" xfId="0" applyFont="1" applyFill="1" applyBorder="1">
      <alignment vertical="center"/>
    </xf>
    <xf numFmtId="0" fontId="40" fillId="28" borderId="108" xfId="0" applyFont="1" applyFill="1" applyBorder="1" applyAlignment="1">
      <alignment horizontal="center" vertical="center"/>
    </xf>
    <xf numFmtId="38" fontId="20" fillId="0" borderId="0" xfId="33" applyFont="1" applyFill="1" applyBorder="1">
      <alignment vertical="center"/>
    </xf>
    <xf numFmtId="0" fontId="20" fillId="35" borderId="121" xfId="0" applyFont="1" applyFill="1" applyBorder="1" applyAlignment="1">
      <alignment horizontal="center" vertical="center"/>
    </xf>
    <xf numFmtId="38" fontId="20" fillId="0" borderId="121" xfId="33" applyFont="1" applyBorder="1" applyAlignment="1">
      <alignment horizontal="right" vertical="center"/>
    </xf>
    <xf numFmtId="38" fontId="20" fillId="0" borderId="121" xfId="33" applyFont="1" applyBorder="1">
      <alignment vertical="center"/>
    </xf>
    <xf numFmtId="38" fontId="20" fillId="35" borderId="121" xfId="33" applyFont="1" applyFill="1" applyBorder="1">
      <alignment vertical="center"/>
    </xf>
    <xf numFmtId="38" fontId="51" fillId="0" borderId="0" xfId="33" applyFont="1" applyFill="1" applyBorder="1">
      <alignment vertical="center"/>
    </xf>
    <xf numFmtId="0" fontId="30" fillId="25" borderId="90" xfId="0" applyFont="1" applyFill="1" applyBorder="1" applyAlignment="1">
      <alignment horizontal="center" vertical="center"/>
    </xf>
    <xf numFmtId="0" fontId="41" fillId="35" borderId="121" xfId="0" applyFont="1" applyFill="1" applyBorder="1">
      <alignment vertical="center"/>
    </xf>
    <xf numFmtId="0" fontId="20" fillId="35" borderId="121" xfId="0" applyFont="1" applyFill="1" applyBorder="1" applyAlignment="1">
      <alignment vertical="center" wrapText="1"/>
    </xf>
    <xf numFmtId="0" fontId="20" fillId="0" borderId="121" xfId="0" applyFont="1" applyBorder="1">
      <alignment vertical="center"/>
    </xf>
    <xf numFmtId="183" fontId="20" fillId="0" borderId="121" xfId="0" applyNumberFormat="1" applyFont="1" applyBorder="1">
      <alignment vertical="center"/>
    </xf>
    <xf numFmtId="183" fontId="39" fillId="34" borderId="121" xfId="33" applyNumberFormat="1" applyFont="1" applyFill="1" applyBorder="1" applyAlignment="1">
      <alignment horizontal="right" vertical="center"/>
    </xf>
    <xf numFmtId="183" fontId="20" fillId="0" borderId="121" xfId="33" applyNumberFormat="1" applyFont="1" applyBorder="1">
      <alignment vertical="center"/>
    </xf>
    <xf numFmtId="186" fontId="39" fillId="0" borderId="121" xfId="33" applyNumberFormat="1" applyFont="1" applyBorder="1" applyAlignment="1">
      <alignment horizontal="right" vertical="center"/>
    </xf>
    <xf numFmtId="186" fontId="20" fillId="0" borderId="121" xfId="0" applyNumberFormat="1" applyFont="1" applyBorder="1" applyAlignment="1">
      <alignment horizontal="right" vertical="center"/>
    </xf>
    <xf numFmtId="38" fontId="20" fillId="0" borderId="14" xfId="33" applyFont="1" applyBorder="1">
      <alignment vertical="center"/>
    </xf>
    <xf numFmtId="0" fontId="20" fillId="24" borderId="0" xfId="0" applyFont="1" applyFill="1" applyProtection="1">
      <alignment vertical="center"/>
      <protection locked="0"/>
    </xf>
    <xf numFmtId="0" fontId="25" fillId="24" borderId="0" xfId="0" applyFont="1" applyFill="1" applyAlignment="1" applyProtection="1">
      <alignment horizontal="center" vertical="center"/>
      <protection locked="0"/>
    </xf>
    <xf numFmtId="0" fontId="46" fillId="24" borderId="0" xfId="0" applyFont="1" applyFill="1" applyAlignment="1" applyProtection="1">
      <alignment horizontal="right" vertical="center"/>
      <protection locked="0"/>
    </xf>
    <xf numFmtId="0" fontId="46" fillId="24" borderId="0" xfId="0" applyFont="1" applyFill="1" applyProtection="1">
      <alignment vertical="center"/>
      <protection locked="0"/>
    </xf>
    <xf numFmtId="0" fontId="20" fillId="24" borderId="0" xfId="0" applyFont="1" applyFill="1" applyAlignment="1" applyProtection="1">
      <alignment horizontal="right" vertical="center"/>
      <protection locked="0"/>
    </xf>
    <xf numFmtId="0" fontId="27" fillId="24" borderId="0" xfId="0" applyFont="1" applyFill="1">
      <alignment vertical="center"/>
    </xf>
    <xf numFmtId="0" fontId="28" fillId="24" borderId="0" xfId="0" applyFont="1" applyFill="1">
      <alignment vertical="center"/>
    </xf>
    <xf numFmtId="0" fontId="29" fillId="24" borderId="0" xfId="0" applyFont="1" applyFill="1">
      <alignment vertical="center"/>
    </xf>
    <xf numFmtId="180" fontId="20" fillId="27" borderId="116" xfId="0" applyNumberFormat="1" applyFont="1" applyFill="1" applyBorder="1">
      <alignment vertical="center"/>
    </xf>
    <xf numFmtId="180" fontId="20" fillId="26" borderId="118" xfId="0" applyNumberFormat="1" applyFont="1" applyFill="1" applyBorder="1">
      <alignment vertical="center"/>
    </xf>
    <xf numFmtId="180" fontId="20" fillId="25" borderId="18" xfId="0" applyNumberFormat="1" applyFont="1" applyFill="1" applyBorder="1">
      <alignment vertical="center"/>
    </xf>
    <xf numFmtId="180" fontId="20" fillId="24" borderId="0" xfId="0" applyNumberFormat="1" applyFont="1" applyFill="1">
      <alignment vertical="center"/>
    </xf>
    <xf numFmtId="180" fontId="20" fillId="36" borderId="118" xfId="0" applyNumberFormat="1" applyFont="1" applyFill="1" applyBorder="1">
      <alignment vertical="center"/>
    </xf>
    <xf numFmtId="180" fontId="20" fillId="0" borderId="0" xfId="0" applyNumberFormat="1" applyFont="1">
      <alignment vertical="center"/>
    </xf>
    <xf numFmtId="0" fontId="20" fillId="27" borderId="80" xfId="0" applyFont="1" applyFill="1" applyBorder="1">
      <alignment vertical="center"/>
    </xf>
    <xf numFmtId="0" fontId="20" fillId="26" borderId="80" xfId="0" applyFont="1" applyFill="1" applyBorder="1">
      <alignment vertical="center"/>
    </xf>
    <xf numFmtId="0" fontId="20" fillId="24" borderId="13" xfId="0" applyFont="1" applyFill="1" applyBorder="1">
      <alignment vertical="center"/>
    </xf>
    <xf numFmtId="0" fontId="32" fillId="24" borderId="0" xfId="0" applyFont="1" applyFill="1">
      <alignment vertical="center"/>
    </xf>
    <xf numFmtId="0" fontId="33" fillId="24" borderId="0" xfId="0" applyFont="1" applyFill="1">
      <alignment vertical="center"/>
    </xf>
    <xf numFmtId="0" fontId="35" fillId="24" borderId="0" xfId="0" applyFont="1" applyFill="1" applyAlignment="1">
      <alignment horizontal="right" vertical="center"/>
    </xf>
    <xf numFmtId="0" fontId="25" fillId="24" borderId="19" xfId="0" applyFont="1" applyFill="1" applyBorder="1">
      <alignment vertical="center"/>
    </xf>
    <xf numFmtId="0" fontId="22" fillId="24" borderId="0" xfId="0" applyFont="1" applyFill="1" applyAlignment="1">
      <alignment horizontal="right" vertical="center"/>
    </xf>
    <xf numFmtId="0" fontId="20" fillId="27" borderId="77" xfId="0" applyFont="1" applyFill="1" applyBorder="1">
      <alignment vertical="center"/>
    </xf>
    <xf numFmtId="0" fontId="23" fillId="24" borderId="0" xfId="0" applyFont="1" applyFill="1">
      <alignment vertical="center"/>
    </xf>
    <xf numFmtId="38" fontId="20" fillId="0" borderId="11" xfId="33" applyFont="1" applyBorder="1" applyAlignment="1">
      <alignment horizontal="center" vertical="center" wrapText="1"/>
    </xf>
    <xf numFmtId="180" fontId="20" fillId="39" borderId="18" xfId="0" applyNumberFormat="1" applyFont="1" applyFill="1" applyBorder="1">
      <alignment vertical="center"/>
    </xf>
    <xf numFmtId="0" fontId="20" fillId="39" borderId="78" xfId="0" applyFont="1" applyFill="1" applyBorder="1">
      <alignment vertical="center"/>
    </xf>
    <xf numFmtId="180" fontId="20" fillId="36" borderId="118" xfId="0" applyNumberFormat="1" applyFont="1" applyFill="1" applyBorder="1" applyAlignment="1">
      <alignment horizontal="center" vertical="center"/>
    </xf>
    <xf numFmtId="0" fontId="20" fillId="24" borderId="0" xfId="0" applyFont="1" applyFill="1" applyAlignment="1" applyProtection="1">
      <alignment vertical="top" wrapText="1"/>
      <protection locked="0"/>
    </xf>
    <xf numFmtId="0" fontId="25" fillId="24" borderId="0" xfId="0" applyFont="1" applyFill="1" applyAlignment="1" applyProtection="1">
      <alignment vertical="top"/>
      <protection locked="0"/>
    </xf>
    <xf numFmtId="0" fontId="46" fillId="0" borderId="121" xfId="43" applyFont="1" applyBorder="1" applyAlignment="1">
      <alignment horizontal="right" vertical="center"/>
    </xf>
    <xf numFmtId="38" fontId="56" fillId="31" borderId="11" xfId="33" applyFont="1" applyFill="1" applyBorder="1" applyAlignment="1">
      <alignment vertical="center"/>
    </xf>
    <xf numFmtId="38" fontId="56" fillId="0" borderId="11" xfId="33" applyFont="1" applyBorder="1" applyAlignment="1">
      <alignment vertical="center"/>
    </xf>
    <xf numFmtId="38" fontId="56" fillId="26" borderId="11" xfId="33" applyFont="1" applyFill="1" applyBorder="1" applyAlignment="1">
      <alignment vertical="center"/>
    </xf>
    <xf numFmtId="0" fontId="56" fillId="0" borderId="11" xfId="0" applyFont="1" applyBorder="1">
      <alignment vertical="center"/>
    </xf>
    <xf numFmtId="38" fontId="56" fillId="30" borderId="11" xfId="33" applyFont="1" applyFill="1" applyBorder="1" applyAlignment="1">
      <alignment vertical="center"/>
    </xf>
    <xf numFmtId="0" fontId="56" fillId="0" borderId="0" xfId="0" applyFont="1">
      <alignment vertical="center"/>
    </xf>
    <xf numFmtId="0" fontId="59" fillId="0" borderId="12" xfId="43" applyFont="1" applyBorder="1">
      <alignment vertical="center"/>
    </xf>
    <xf numFmtId="0" fontId="60" fillId="0" borderId="11" xfId="0" applyFont="1" applyBorder="1">
      <alignment vertical="center"/>
    </xf>
    <xf numFmtId="0" fontId="59" fillId="0" borderId="11" xfId="43" applyFont="1" applyBorder="1">
      <alignment vertical="center"/>
    </xf>
    <xf numFmtId="0" fontId="60" fillId="0" borderId="87" xfId="0" applyFont="1" applyBorder="1">
      <alignment vertical="center"/>
    </xf>
    <xf numFmtId="0" fontId="56" fillId="0" borderId="88" xfId="0" applyFont="1" applyBorder="1">
      <alignment vertical="center"/>
    </xf>
    <xf numFmtId="0" fontId="59" fillId="0" borderId="0" xfId="43" applyFont="1">
      <alignment vertical="center"/>
    </xf>
    <xf numFmtId="0" fontId="59" fillId="0" borderId="102" xfId="43" applyFont="1" applyBorder="1">
      <alignment vertical="center"/>
    </xf>
    <xf numFmtId="0" fontId="56" fillId="0" borderId="102" xfId="0" applyFont="1" applyBorder="1">
      <alignment vertical="center"/>
    </xf>
    <xf numFmtId="0" fontId="46" fillId="35" borderId="10" xfId="43" applyFont="1" applyFill="1" applyBorder="1" applyAlignment="1">
      <alignment horizontal="center" vertical="center" wrapText="1"/>
    </xf>
    <xf numFmtId="38" fontId="46" fillId="31" borderId="11" xfId="33" applyFont="1" applyFill="1" applyBorder="1" applyAlignment="1">
      <alignment horizontal="center" vertical="center"/>
    </xf>
    <xf numFmtId="38" fontId="46" fillId="26" borderId="11" xfId="33" applyFont="1" applyFill="1" applyBorder="1" applyAlignment="1">
      <alignment horizontal="center" vertical="center"/>
    </xf>
    <xf numFmtId="38" fontId="46" fillId="30" borderId="11" xfId="33" applyFont="1" applyFill="1" applyBorder="1" applyAlignment="1">
      <alignment horizontal="center" vertical="center"/>
    </xf>
    <xf numFmtId="38" fontId="46" fillId="30" borderId="11" xfId="33" applyFont="1" applyFill="1" applyBorder="1" applyAlignment="1">
      <alignment vertical="center"/>
    </xf>
    <xf numFmtId="0" fontId="46" fillId="35" borderId="11" xfId="0" applyFont="1" applyFill="1" applyBorder="1" applyAlignment="1">
      <alignment horizontal="center" vertical="center"/>
    </xf>
    <xf numFmtId="0" fontId="46" fillId="35" borderId="121" xfId="0" applyFont="1" applyFill="1" applyBorder="1" applyAlignment="1">
      <alignment horizontal="center" vertical="center" wrapText="1"/>
    </xf>
    <xf numFmtId="0" fontId="46" fillId="0" borderId="11" xfId="43" applyFont="1" applyBorder="1" applyAlignment="1">
      <alignment horizontal="right" vertical="center"/>
    </xf>
    <xf numFmtId="0" fontId="46" fillId="0" borderId="102" xfId="43" applyFont="1" applyBorder="1" applyAlignment="1">
      <alignment horizontal="right" vertical="center"/>
    </xf>
    <xf numFmtId="0" fontId="56" fillId="35" borderId="11" xfId="0" applyFont="1" applyFill="1" applyBorder="1" applyAlignment="1">
      <alignment horizontal="center" vertical="center"/>
    </xf>
    <xf numFmtId="0" fontId="56" fillId="0" borderId="11" xfId="43" applyFont="1" applyBorder="1" applyAlignment="1" applyProtection="1">
      <alignment horizontal="right" vertical="center"/>
      <protection locked="0"/>
    </xf>
    <xf numFmtId="0" fontId="56" fillId="0" borderId="11" xfId="43" applyFont="1" applyBorder="1" applyAlignment="1">
      <alignment horizontal="right" vertical="center"/>
    </xf>
    <xf numFmtId="38" fontId="46" fillId="0" borderId="121" xfId="33" applyFont="1" applyBorder="1" applyAlignment="1">
      <alignment horizontal="right" vertical="center"/>
    </xf>
    <xf numFmtId="38" fontId="46" fillId="0" borderId="14" xfId="33" applyFont="1" applyBorder="1">
      <alignment vertical="center"/>
    </xf>
    <xf numFmtId="38" fontId="46" fillId="35" borderId="121" xfId="33" applyFont="1" applyFill="1" applyBorder="1">
      <alignment vertical="center"/>
    </xf>
    <xf numFmtId="0" fontId="46" fillId="0" borderId="11" xfId="0" applyFont="1" applyBorder="1">
      <alignment vertical="center"/>
    </xf>
    <xf numFmtId="0" fontId="56" fillId="35" borderId="67" xfId="0" applyFont="1" applyFill="1" applyBorder="1">
      <alignment vertical="center"/>
    </xf>
    <xf numFmtId="0" fontId="56" fillId="35" borderId="68" xfId="0" applyFont="1" applyFill="1" applyBorder="1">
      <alignment vertical="center"/>
    </xf>
    <xf numFmtId="0" fontId="56" fillId="35" borderId="105" xfId="0" applyFont="1" applyFill="1" applyBorder="1">
      <alignment vertical="center"/>
    </xf>
    <xf numFmtId="0" fontId="56" fillId="35" borderId="82" xfId="0" applyFont="1" applyFill="1" applyBorder="1">
      <alignment vertical="center"/>
    </xf>
    <xf numFmtId="0" fontId="56" fillId="0" borderId="69" xfId="0" applyFont="1" applyBorder="1">
      <alignment vertical="center"/>
    </xf>
    <xf numFmtId="38" fontId="56" fillId="0" borderId="11" xfId="33" applyFont="1" applyBorder="1">
      <alignment vertical="center"/>
    </xf>
    <xf numFmtId="38" fontId="56" fillId="0" borderId="103" xfId="33" applyFont="1" applyBorder="1">
      <alignment vertical="center"/>
    </xf>
    <xf numFmtId="38" fontId="56" fillId="0" borderId="104" xfId="33" applyFont="1" applyBorder="1">
      <alignment vertical="center"/>
    </xf>
    <xf numFmtId="38" fontId="56" fillId="0" borderId="109" xfId="33" applyFont="1" applyBorder="1">
      <alignment vertical="center"/>
    </xf>
    <xf numFmtId="0" fontId="56" fillId="35" borderId="70" xfId="0" applyFont="1" applyFill="1" applyBorder="1">
      <alignment vertical="center"/>
    </xf>
    <xf numFmtId="38" fontId="56" fillId="35" borderId="71" xfId="33" applyFont="1" applyFill="1" applyBorder="1">
      <alignment vertical="center"/>
    </xf>
    <xf numFmtId="38" fontId="56" fillId="35" borderId="110" xfId="33" applyFont="1" applyFill="1" applyBorder="1">
      <alignment vertical="center"/>
    </xf>
    <xf numFmtId="0" fontId="46" fillId="35" borderId="105" xfId="0" applyFont="1" applyFill="1" applyBorder="1">
      <alignment vertical="center"/>
    </xf>
    <xf numFmtId="38" fontId="46" fillId="0" borderId="103" xfId="33" applyFont="1" applyBorder="1">
      <alignment vertical="center"/>
    </xf>
    <xf numFmtId="38" fontId="46" fillId="35" borderId="71" xfId="33" applyFont="1" applyFill="1" applyBorder="1">
      <alignment vertical="center"/>
    </xf>
    <xf numFmtId="38" fontId="56" fillId="0" borderId="11" xfId="33" applyFont="1" applyFill="1" applyBorder="1" applyAlignment="1">
      <alignment vertical="center"/>
    </xf>
    <xf numFmtId="185" fontId="56" fillId="0" borderId="11" xfId="0" applyNumberFormat="1" applyFont="1" applyBorder="1">
      <alignment vertical="center"/>
    </xf>
    <xf numFmtId="185" fontId="56" fillId="0" borderId="11" xfId="33" applyNumberFormat="1" applyFont="1" applyFill="1" applyBorder="1" applyAlignment="1">
      <alignment vertical="center"/>
    </xf>
    <xf numFmtId="0" fontId="56" fillId="0" borderId="11" xfId="43" applyFont="1" applyBorder="1">
      <alignment vertical="center"/>
    </xf>
    <xf numFmtId="186" fontId="46" fillId="0" borderId="121" xfId="0" applyNumberFormat="1" applyFont="1" applyBorder="1" applyAlignment="1">
      <alignment horizontal="right" vertical="center"/>
    </xf>
    <xf numFmtId="186" fontId="46" fillId="0" borderId="121" xfId="43" applyNumberFormat="1" applyFont="1" applyBorder="1" applyAlignment="1">
      <alignment horizontal="right" vertical="center"/>
    </xf>
    <xf numFmtId="0" fontId="56" fillId="24" borderId="95" xfId="0" applyFont="1" applyFill="1" applyBorder="1" applyAlignment="1">
      <alignment horizontal="center" vertical="center"/>
    </xf>
    <xf numFmtId="0" fontId="56" fillId="24" borderId="22" xfId="0" applyFont="1" applyFill="1" applyBorder="1">
      <alignment vertical="center"/>
    </xf>
    <xf numFmtId="0" fontId="56" fillId="24" borderId="96" xfId="0" applyFont="1" applyFill="1" applyBorder="1" applyAlignment="1">
      <alignment horizontal="center" vertical="center"/>
    </xf>
    <xf numFmtId="0" fontId="56" fillId="24" borderId="0" xfId="0" applyFont="1" applyFill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24" borderId="0" xfId="0" applyFont="1" applyFill="1">
      <alignment vertical="center"/>
    </xf>
    <xf numFmtId="0" fontId="56" fillId="28" borderId="96" xfId="0" applyFont="1" applyFill="1" applyBorder="1">
      <alignment vertical="center"/>
    </xf>
    <xf numFmtId="176" fontId="64" fillId="28" borderId="0" xfId="33" applyNumberFormat="1" applyFont="1" applyFill="1" applyBorder="1">
      <alignment vertical="center"/>
    </xf>
    <xf numFmtId="0" fontId="56" fillId="28" borderId="0" xfId="0" applyFont="1" applyFill="1" applyAlignment="1">
      <alignment horizontal="right" vertical="center"/>
    </xf>
    <xf numFmtId="176" fontId="64" fillId="28" borderId="0" xfId="0" applyNumberFormat="1" applyFont="1" applyFill="1">
      <alignment vertical="center"/>
    </xf>
    <xf numFmtId="0" fontId="56" fillId="28" borderId="0" xfId="0" applyFont="1" applyFill="1" applyAlignment="1">
      <alignment horizontal="center" vertical="center"/>
    </xf>
    <xf numFmtId="10" fontId="56" fillId="28" borderId="27" xfId="0" applyNumberFormat="1" applyFont="1" applyFill="1" applyBorder="1">
      <alignment vertical="center"/>
    </xf>
    <xf numFmtId="0" fontId="56" fillId="28" borderId="27" xfId="0" applyFont="1" applyFill="1" applyBorder="1" applyAlignment="1">
      <alignment horizontal="center" vertical="center"/>
    </xf>
    <xf numFmtId="0" fontId="56" fillId="28" borderId="0" xfId="0" applyFont="1" applyFill="1">
      <alignment vertical="center"/>
    </xf>
    <xf numFmtId="0" fontId="56" fillId="24" borderId="141" xfId="0" applyFont="1" applyFill="1" applyBorder="1">
      <alignment vertical="center"/>
    </xf>
    <xf numFmtId="176" fontId="64" fillId="0" borderId="143" xfId="33" applyNumberFormat="1" applyFont="1" applyFill="1" applyBorder="1">
      <alignment vertical="center"/>
    </xf>
    <xf numFmtId="0" fontId="56" fillId="0" borderId="142" xfId="0" applyFont="1" applyBorder="1" applyAlignment="1">
      <alignment horizontal="right" vertical="center"/>
    </xf>
    <xf numFmtId="176" fontId="64" fillId="0" borderId="142" xfId="0" applyNumberFormat="1" applyFont="1" applyBorder="1">
      <alignment vertical="center"/>
    </xf>
    <xf numFmtId="0" fontId="56" fillId="0" borderId="143" xfId="0" applyFont="1" applyBorder="1" applyAlignment="1">
      <alignment horizontal="center" vertical="center"/>
    </xf>
    <xf numFmtId="0" fontId="56" fillId="24" borderId="33" xfId="0" applyFont="1" applyFill="1" applyBorder="1" applyAlignment="1">
      <alignment horizontal="center" vertical="center"/>
    </xf>
    <xf numFmtId="0" fontId="56" fillId="24" borderId="40" xfId="0" applyFont="1" applyFill="1" applyBorder="1">
      <alignment vertical="center"/>
    </xf>
    <xf numFmtId="0" fontId="56" fillId="24" borderId="35" xfId="0" applyFont="1" applyFill="1" applyBorder="1">
      <alignment vertical="center"/>
    </xf>
    <xf numFmtId="0" fontId="56" fillId="28" borderId="143" xfId="0" applyFont="1" applyFill="1" applyBorder="1" applyAlignment="1">
      <alignment horizontal="right" vertical="center"/>
    </xf>
    <xf numFmtId="176" fontId="64" fillId="28" borderId="142" xfId="0" applyNumberFormat="1" applyFont="1" applyFill="1" applyBorder="1">
      <alignment vertical="center"/>
    </xf>
    <xf numFmtId="0" fontId="56" fillId="28" borderId="143" xfId="0" applyFont="1" applyFill="1" applyBorder="1" applyAlignment="1">
      <alignment horizontal="center" vertical="center"/>
    </xf>
    <xf numFmtId="0" fontId="56" fillId="28" borderId="36" xfId="0" applyFont="1" applyFill="1" applyBorder="1" applyAlignment="1">
      <alignment horizontal="center" vertical="center"/>
    </xf>
    <xf numFmtId="0" fontId="56" fillId="28" borderId="37" xfId="0" applyFont="1" applyFill="1" applyBorder="1" applyAlignment="1">
      <alignment horizontal="center" vertical="center"/>
    </xf>
    <xf numFmtId="0" fontId="56" fillId="28" borderId="35" xfId="0" applyFont="1" applyFill="1" applyBorder="1">
      <alignment vertical="center"/>
    </xf>
    <xf numFmtId="0" fontId="56" fillId="24" borderId="97" xfId="0" applyFont="1" applyFill="1" applyBorder="1">
      <alignment vertical="center"/>
    </xf>
    <xf numFmtId="176" fontId="64" fillId="0" borderId="142" xfId="33" applyNumberFormat="1" applyFont="1" applyFill="1" applyBorder="1">
      <alignment vertical="center"/>
    </xf>
    <xf numFmtId="0" fontId="56" fillId="0" borderId="143" xfId="0" applyFont="1" applyBorder="1" applyAlignment="1">
      <alignment horizontal="right" vertical="center"/>
    </xf>
    <xf numFmtId="176" fontId="64" fillId="0" borderId="143" xfId="0" applyNumberFormat="1" applyFont="1" applyBorder="1">
      <alignment vertical="center"/>
    </xf>
    <xf numFmtId="0" fontId="56" fillId="24" borderId="34" xfId="0" applyFont="1" applyFill="1" applyBorder="1" applyAlignment="1">
      <alignment horizontal="center" vertical="center"/>
    </xf>
    <xf numFmtId="0" fontId="56" fillId="24" borderId="35" xfId="0" applyFont="1" applyFill="1" applyBorder="1" applyAlignment="1">
      <alignment horizontal="center" vertical="center"/>
    </xf>
    <xf numFmtId="176" fontId="64" fillId="28" borderId="142" xfId="33" applyNumberFormat="1" applyFont="1" applyFill="1" applyBorder="1">
      <alignment vertical="center"/>
    </xf>
    <xf numFmtId="0" fontId="56" fillId="28" borderId="142" xfId="0" applyFont="1" applyFill="1" applyBorder="1" applyAlignment="1">
      <alignment horizontal="right" vertical="center"/>
    </xf>
    <xf numFmtId="176" fontId="64" fillId="28" borderId="143" xfId="0" applyNumberFormat="1" applyFont="1" applyFill="1" applyBorder="1">
      <alignment vertical="center"/>
    </xf>
    <xf numFmtId="0" fontId="56" fillId="28" borderId="142" xfId="0" applyFont="1" applyFill="1" applyBorder="1" applyAlignment="1">
      <alignment horizontal="center" vertical="center"/>
    </xf>
    <xf numFmtId="0" fontId="56" fillId="28" borderId="27" xfId="0" applyFont="1" applyFill="1" applyBorder="1">
      <alignment vertical="center"/>
    </xf>
    <xf numFmtId="0" fontId="56" fillId="24" borderId="127" xfId="0" applyFont="1" applyFill="1" applyBorder="1">
      <alignment vertical="center"/>
    </xf>
    <xf numFmtId="0" fontId="56" fillId="0" borderId="0" xfId="0" applyFont="1" applyAlignment="1">
      <alignment horizontal="right" vertical="center"/>
    </xf>
    <xf numFmtId="0" fontId="56" fillId="0" borderId="142" xfId="0" applyFont="1" applyBorder="1" applyAlignment="1">
      <alignment horizontal="center" vertical="center"/>
    </xf>
    <xf numFmtId="0" fontId="56" fillId="24" borderId="40" xfId="0" applyFont="1" applyFill="1" applyBorder="1" applyAlignment="1">
      <alignment horizontal="center" vertical="center"/>
    </xf>
    <xf numFmtId="0" fontId="56" fillId="24" borderId="128" xfId="0" applyFont="1" applyFill="1" applyBorder="1">
      <alignment vertical="center"/>
    </xf>
    <xf numFmtId="0" fontId="65" fillId="24" borderId="0" xfId="0" applyFont="1" applyFill="1">
      <alignment vertical="center"/>
    </xf>
    <xf numFmtId="176" fontId="56" fillId="24" borderId="0" xfId="0" applyNumberFormat="1" applyFont="1" applyFill="1">
      <alignment vertical="center"/>
    </xf>
    <xf numFmtId="0" fontId="63" fillId="26" borderId="135" xfId="0" applyFont="1" applyFill="1" applyBorder="1" applyAlignment="1">
      <alignment horizontal="center" vertical="center"/>
    </xf>
    <xf numFmtId="0" fontId="56" fillId="24" borderId="135" xfId="0" applyFont="1" applyFill="1" applyBorder="1" applyAlignment="1">
      <alignment horizontal="center" vertical="center"/>
    </xf>
    <xf numFmtId="0" fontId="65" fillId="24" borderId="136" xfId="0" applyFont="1" applyFill="1" applyBorder="1">
      <alignment vertical="center"/>
    </xf>
    <xf numFmtId="0" fontId="56" fillId="24" borderId="136" xfId="0" applyFont="1" applyFill="1" applyBorder="1" applyAlignment="1">
      <alignment horizontal="center" vertical="center"/>
    </xf>
    <xf numFmtId="0" fontId="56" fillId="24" borderId="136" xfId="0" applyFont="1" applyFill="1" applyBorder="1">
      <alignment vertical="center"/>
    </xf>
    <xf numFmtId="176" fontId="56" fillId="24" borderId="136" xfId="0" applyNumberFormat="1" applyFont="1" applyFill="1" applyBorder="1">
      <alignment vertical="center"/>
    </xf>
    <xf numFmtId="0" fontId="56" fillId="24" borderId="134" xfId="0" applyFont="1" applyFill="1" applyBorder="1" applyAlignment="1">
      <alignment horizontal="center" vertical="center"/>
    </xf>
    <xf numFmtId="0" fontId="56" fillId="0" borderId="130" xfId="0" applyFont="1" applyBorder="1">
      <alignment vertical="center"/>
    </xf>
    <xf numFmtId="0" fontId="56" fillId="24" borderId="130" xfId="0" applyFont="1" applyFill="1" applyBorder="1" applyAlignment="1">
      <alignment horizontal="center" vertical="center"/>
    </xf>
    <xf numFmtId="0" fontId="66" fillId="24" borderId="130" xfId="0" applyFont="1" applyFill="1" applyBorder="1" applyAlignment="1">
      <alignment horizontal="right" vertical="center"/>
    </xf>
    <xf numFmtId="176" fontId="64" fillId="24" borderId="130" xfId="0" applyNumberFormat="1" applyFont="1" applyFill="1" applyBorder="1">
      <alignment vertical="center"/>
    </xf>
    <xf numFmtId="177" fontId="64" fillId="24" borderId="130" xfId="0" applyNumberFormat="1" applyFont="1" applyFill="1" applyBorder="1">
      <alignment vertical="center"/>
    </xf>
    <xf numFmtId="0" fontId="56" fillId="28" borderId="96" xfId="0" applyFont="1" applyFill="1" applyBorder="1" applyAlignment="1">
      <alignment horizontal="center" vertical="center"/>
    </xf>
    <xf numFmtId="0" fontId="56" fillId="28" borderId="0" xfId="0" applyFont="1" applyFill="1" applyAlignment="1">
      <alignment horizontal="left" vertical="center"/>
    </xf>
    <xf numFmtId="0" fontId="66" fillId="28" borderId="0" xfId="0" applyFont="1" applyFill="1" applyAlignment="1">
      <alignment horizontal="right" vertical="center"/>
    </xf>
    <xf numFmtId="0" fontId="63" fillId="28" borderId="0" xfId="0" applyFont="1" applyFill="1" applyAlignment="1">
      <alignment horizontal="left" vertical="center"/>
    </xf>
    <xf numFmtId="177" fontId="64" fillId="28" borderId="0" xfId="0" applyNumberFormat="1" applyFont="1" applyFill="1">
      <alignment vertical="center"/>
    </xf>
    <xf numFmtId="176" fontId="64" fillId="28" borderId="108" xfId="0" applyNumberFormat="1" applyFont="1" applyFill="1" applyBorder="1" applyAlignment="1">
      <alignment horizontal="right" vertical="center"/>
    </xf>
    <xf numFmtId="0" fontId="56" fillId="28" borderId="129" xfId="0" applyFont="1" applyFill="1" applyBorder="1" applyAlignment="1">
      <alignment horizontal="center" vertical="center"/>
    </xf>
    <xf numFmtId="0" fontId="56" fillId="28" borderId="108" xfId="0" applyFont="1" applyFill="1" applyBorder="1" applyAlignment="1">
      <alignment horizontal="left" vertical="center"/>
    </xf>
    <xf numFmtId="0" fontId="66" fillId="28" borderId="108" xfId="0" applyFont="1" applyFill="1" applyBorder="1" applyAlignment="1">
      <alignment horizontal="left" vertical="center"/>
    </xf>
    <xf numFmtId="0" fontId="56" fillId="28" borderId="108" xfId="0" applyFont="1" applyFill="1" applyBorder="1" applyAlignment="1">
      <alignment horizontal="center" vertical="center"/>
    </xf>
    <xf numFmtId="177" fontId="56" fillId="28" borderId="108" xfId="0" applyNumberFormat="1" applyFont="1" applyFill="1" applyBorder="1" applyAlignment="1">
      <alignment horizontal="center" vertical="center"/>
    </xf>
    <xf numFmtId="0" fontId="62" fillId="36" borderId="73" xfId="0" applyFont="1" applyFill="1" applyBorder="1" applyAlignment="1">
      <alignment horizontal="center" vertical="center"/>
    </xf>
    <xf numFmtId="0" fontId="56" fillId="24" borderId="73" xfId="0" applyFont="1" applyFill="1" applyBorder="1" applyAlignment="1">
      <alignment horizontal="center" vertical="center"/>
    </xf>
    <xf numFmtId="0" fontId="65" fillId="24" borderId="21" xfId="0" applyFont="1" applyFill="1" applyBorder="1">
      <alignment vertical="center"/>
    </xf>
    <xf numFmtId="0" fontId="56" fillId="24" borderId="21" xfId="0" applyFont="1" applyFill="1" applyBorder="1" applyAlignment="1">
      <alignment horizontal="center" vertical="center"/>
    </xf>
    <xf numFmtId="0" fontId="56" fillId="24" borderId="21" xfId="0" applyFont="1" applyFill="1" applyBorder="1">
      <alignment vertical="center"/>
    </xf>
    <xf numFmtId="176" fontId="56" fillId="24" borderId="21" xfId="0" applyNumberFormat="1" applyFont="1" applyFill="1" applyBorder="1">
      <alignment vertical="center"/>
    </xf>
    <xf numFmtId="0" fontId="66" fillId="24" borderId="130" xfId="0" applyFont="1" applyFill="1" applyBorder="1">
      <alignment vertical="center"/>
    </xf>
    <xf numFmtId="0" fontId="66" fillId="28" borderId="108" xfId="0" applyFont="1" applyFill="1" applyBorder="1" applyAlignment="1">
      <alignment horizontal="right" vertical="center"/>
    </xf>
    <xf numFmtId="0" fontId="63" fillId="36" borderId="135" xfId="0" applyFont="1" applyFill="1" applyBorder="1" applyAlignment="1">
      <alignment horizontal="center" vertical="center"/>
    </xf>
    <xf numFmtId="0" fontId="56" fillId="24" borderId="130" xfId="0" applyFont="1" applyFill="1" applyBorder="1">
      <alignment vertical="center"/>
    </xf>
    <xf numFmtId="0" fontId="64" fillId="24" borderId="130" xfId="0" applyFont="1" applyFill="1" applyBorder="1" applyAlignment="1">
      <alignment horizontal="center" vertical="center"/>
    </xf>
    <xf numFmtId="0" fontId="64" fillId="28" borderId="0" xfId="0" applyFont="1" applyFill="1" applyAlignment="1">
      <alignment horizontal="center" vertical="center"/>
    </xf>
    <xf numFmtId="0" fontId="22" fillId="33" borderId="111" xfId="0" applyFont="1" applyFill="1" applyBorder="1" applyAlignment="1">
      <alignment horizontal="center" vertical="center"/>
    </xf>
    <xf numFmtId="0" fontId="22" fillId="33" borderId="112" xfId="0" applyFont="1" applyFill="1" applyBorder="1" applyAlignment="1">
      <alignment horizontal="center" vertical="center"/>
    </xf>
    <xf numFmtId="0" fontId="22" fillId="33" borderId="113" xfId="0" applyFont="1" applyFill="1" applyBorder="1" applyAlignment="1">
      <alignment horizontal="center" vertical="center"/>
    </xf>
    <xf numFmtId="180" fontId="30" fillId="27" borderId="49" xfId="0" applyNumberFormat="1" applyFont="1" applyFill="1" applyBorder="1" applyAlignment="1">
      <alignment horizontal="right" vertical="center"/>
    </xf>
    <xf numFmtId="180" fontId="30" fillId="27" borderId="26" xfId="0" applyNumberFormat="1" applyFont="1" applyFill="1" applyBorder="1" applyAlignment="1">
      <alignment horizontal="right" vertical="center"/>
    </xf>
    <xf numFmtId="180" fontId="30" fillId="26" borderId="117" xfId="0" applyNumberFormat="1" applyFont="1" applyFill="1" applyBorder="1" applyAlignment="1">
      <alignment horizontal="right" vertical="center"/>
    </xf>
    <xf numFmtId="0" fontId="0" fillId="0" borderId="116" xfId="0" applyBorder="1" applyAlignment="1">
      <alignment horizontal="right" vertical="center"/>
    </xf>
    <xf numFmtId="0" fontId="50" fillId="24" borderId="0" xfId="0" applyFont="1" applyFill="1" applyAlignment="1">
      <alignment horizontal="center" vertical="center"/>
    </xf>
    <xf numFmtId="180" fontId="30" fillId="26" borderId="79" xfId="0" applyNumberFormat="1" applyFont="1" applyFill="1" applyBorder="1" applyAlignment="1">
      <alignment horizontal="right" vertical="center"/>
    </xf>
    <xf numFmtId="180" fontId="30" fillId="26" borderId="77" xfId="0" applyNumberFormat="1" applyFont="1" applyFill="1" applyBorder="1" applyAlignment="1">
      <alignment horizontal="right" vertical="center"/>
    </xf>
    <xf numFmtId="0" fontId="55" fillId="24" borderId="119" xfId="0" quotePrefix="1" applyFont="1" applyFill="1" applyBorder="1" applyAlignment="1">
      <alignment horizontal="center" vertical="center"/>
    </xf>
    <xf numFmtId="0" fontId="49" fillId="0" borderId="1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80" fontId="30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20" fillId="24" borderId="63" xfId="33" applyFont="1" applyFill="1" applyBorder="1" applyAlignment="1" applyProtection="1">
      <alignment vertical="center"/>
      <protection locked="0"/>
    </xf>
    <xf numFmtId="38" fontId="20" fillId="24" borderId="64" xfId="33" applyFont="1" applyFill="1" applyBorder="1" applyAlignment="1" applyProtection="1">
      <alignment vertical="center"/>
      <protection locked="0"/>
    </xf>
    <xf numFmtId="38" fontId="20" fillId="24" borderId="65" xfId="33" applyFont="1" applyFill="1" applyBorder="1" applyAlignment="1" applyProtection="1">
      <alignment vertical="center"/>
      <protection locked="0"/>
    </xf>
    <xf numFmtId="0" fontId="22" fillId="24" borderId="66" xfId="0" applyFont="1" applyFill="1" applyBorder="1" applyAlignment="1">
      <alignment horizontal="center"/>
    </xf>
    <xf numFmtId="180" fontId="20" fillId="0" borderId="63" xfId="0" applyNumberFormat="1" applyFont="1" applyBorder="1" applyProtection="1">
      <alignment vertical="center"/>
      <protection locked="0"/>
    </xf>
    <xf numFmtId="180" fontId="20" fillId="0" borderId="64" xfId="0" applyNumberFormat="1" applyFont="1" applyBorder="1" applyProtection="1">
      <alignment vertical="center"/>
      <protection locked="0"/>
    </xf>
    <xf numFmtId="180" fontId="20" fillId="0" borderId="65" xfId="0" applyNumberFormat="1" applyFont="1" applyBorder="1" applyProtection="1">
      <alignment vertical="center"/>
      <protection locked="0"/>
    </xf>
    <xf numFmtId="0" fontId="22" fillId="33" borderId="49" xfId="0" applyFont="1" applyFill="1" applyBorder="1" applyAlignment="1">
      <alignment horizontal="center" vertical="center"/>
    </xf>
    <xf numFmtId="0" fontId="22" fillId="33" borderId="26" xfId="0" applyFont="1" applyFill="1" applyBorder="1" applyAlignment="1">
      <alignment horizontal="center" vertical="center"/>
    </xf>
    <xf numFmtId="0" fontId="22" fillId="33" borderId="18" xfId="0" applyFont="1" applyFill="1" applyBorder="1" applyAlignment="1">
      <alignment horizontal="center" vertical="center"/>
    </xf>
    <xf numFmtId="180" fontId="30" fillId="27" borderId="49" xfId="0" applyNumberFormat="1" applyFont="1" applyFill="1" applyBorder="1" applyAlignment="1">
      <alignment horizontal="center" vertical="center"/>
    </xf>
    <xf numFmtId="180" fontId="30" fillId="27" borderId="26" xfId="0" applyNumberFormat="1" applyFont="1" applyFill="1" applyBorder="1" applyAlignment="1">
      <alignment horizontal="center" vertical="center"/>
    </xf>
    <xf numFmtId="180" fontId="30" fillId="26" borderId="117" xfId="0" applyNumberFormat="1" applyFont="1" applyFill="1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180" fontId="30" fillId="25" borderId="116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80" fontId="30" fillId="39" borderId="116" xfId="0" applyNumberFormat="1" applyFont="1" applyFill="1" applyBorder="1" applyAlignment="1">
      <alignment horizontal="right" vertical="center"/>
    </xf>
    <xf numFmtId="0" fontId="0" fillId="39" borderId="26" xfId="0" applyFill="1" applyBorder="1" applyAlignment="1">
      <alignment horizontal="right" vertical="center"/>
    </xf>
    <xf numFmtId="182" fontId="26" fillId="24" borderId="32" xfId="0" applyNumberFormat="1" applyFont="1" applyFill="1" applyBorder="1" applyAlignment="1">
      <alignment horizontal="right" vertical="center"/>
    </xf>
    <xf numFmtId="182" fontId="26" fillId="24" borderId="100" xfId="0" applyNumberFormat="1" applyFont="1" applyFill="1" applyBorder="1" applyAlignment="1">
      <alignment horizontal="right" vertical="center"/>
    </xf>
    <xf numFmtId="182" fontId="26" fillId="24" borderId="30" xfId="0" applyNumberFormat="1" applyFont="1" applyFill="1" applyBorder="1" applyAlignment="1">
      <alignment horizontal="right" vertical="center"/>
    </xf>
    <xf numFmtId="180" fontId="30" fillId="25" borderId="79" xfId="0" applyNumberFormat="1" applyFont="1" applyFill="1" applyBorder="1">
      <alignment vertical="center"/>
    </xf>
    <xf numFmtId="180" fontId="0" fillId="0" borderId="77" xfId="0" applyNumberFormat="1" applyBorder="1">
      <alignment vertical="center"/>
    </xf>
    <xf numFmtId="0" fontId="36" fillId="24" borderId="81" xfId="0" applyFont="1" applyFill="1" applyBorder="1" applyAlignment="1">
      <alignment horizontal="center" vertical="top"/>
    </xf>
    <xf numFmtId="0" fontId="36" fillId="24" borderId="101" xfId="0" applyFont="1" applyFill="1" applyBorder="1" applyAlignment="1">
      <alignment horizontal="center" vertical="top"/>
    </xf>
    <xf numFmtId="0" fontId="0" fillId="0" borderId="81" xfId="0" applyBorder="1" applyAlignment="1">
      <alignment horizontal="center" vertical="center"/>
    </xf>
    <xf numFmtId="180" fontId="30" fillId="25" borderId="116" xfId="0" applyNumberFormat="1" applyFont="1" applyFill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180" fontId="31" fillId="24" borderId="50" xfId="0" applyNumberFormat="1" applyFont="1" applyFill="1" applyBorder="1" applyAlignment="1">
      <alignment horizontal="right" vertical="center"/>
    </xf>
    <xf numFmtId="180" fontId="31" fillId="24" borderId="51" xfId="0" applyNumberFormat="1" applyFont="1" applyFill="1" applyBorder="1" applyAlignment="1">
      <alignment horizontal="right" vertical="center"/>
    </xf>
    <xf numFmtId="0" fontId="31" fillId="24" borderId="51" xfId="0" applyFont="1" applyFill="1" applyBorder="1" applyAlignment="1">
      <alignment horizontal="right" vertical="center"/>
    </xf>
    <xf numFmtId="0" fontId="22" fillId="24" borderId="52" xfId="0" applyFont="1" applyFill="1" applyBorder="1" applyAlignment="1">
      <alignment horizontal="center"/>
    </xf>
    <xf numFmtId="180" fontId="30" fillId="25" borderId="77" xfId="0" applyNumberFormat="1" applyFont="1" applyFill="1" applyBorder="1" applyAlignment="1">
      <alignment horizontal="right" vertical="center"/>
    </xf>
    <xf numFmtId="0" fontId="28" fillId="24" borderId="119" xfId="0" quotePrefix="1" applyFont="1" applyFill="1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28" fillId="24" borderId="26" xfId="0" quotePrefix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80" fontId="30" fillId="39" borderId="112" xfId="0" applyNumberFormat="1" applyFont="1" applyFill="1" applyBorder="1" applyAlignment="1">
      <alignment horizontal="right" vertical="center"/>
    </xf>
    <xf numFmtId="0" fontId="22" fillId="24" borderId="0" xfId="0" applyFont="1" applyFill="1" applyAlignment="1">
      <alignment horizontal="center"/>
    </xf>
    <xf numFmtId="180" fontId="20" fillId="0" borderId="84" xfId="0" applyNumberFormat="1" applyFont="1" applyBorder="1" applyProtection="1">
      <alignment vertical="center"/>
      <protection locked="0"/>
    </xf>
    <xf numFmtId="180" fontId="20" fillId="0" borderId="85" xfId="0" applyNumberFormat="1" applyFont="1" applyBorder="1" applyProtection="1">
      <alignment vertical="center"/>
      <protection locked="0"/>
    </xf>
    <xf numFmtId="180" fontId="20" fillId="0" borderId="86" xfId="0" applyNumberFormat="1" applyFont="1" applyBorder="1" applyProtection="1">
      <alignment vertical="center"/>
      <protection locked="0"/>
    </xf>
    <xf numFmtId="0" fontId="57" fillId="24" borderId="0" xfId="0" applyFont="1" applyFill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vertical="center" wrapText="1"/>
    </xf>
    <xf numFmtId="0" fontId="24" fillId="24" borderId="0" xfId="0" applyFont="1" applyFill="1" applyAlignment="1" applyProtection="1">
      <alignment horizontal="left" vertical="center"/>
      <protection locked="0"/>
    </xf>
    <xf numFmtId="0" fontId="22" fillId="27" borderId="115" xfId="0" applyFont="1" applyFill="1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22" fillId="26" borderId="114" xfId="0" applyFont="1" applyFill="1" applyBorder="1" applyAlignment="1">
      <alignment horizontal="center" vertical="center"/>
    </xf>
    <xf numFmtId="0" fontId="48" fillId="24" borderId="0" xfId="0" applyFont="1" applyFill="1" applyAlignment="1">
      <alignment horizontal="center" wrapText="1"/>
    </xf>
    <xf numFmtId="0" fontId="49" fillId="0" borderId="0" xfId="0" applyFont="1" applyAlignment="1">
      <alignment horizontal="center" wrapText="1"/>
    </xf>
    <xf numFmtId="0" fontId="22" fillId="25" borderId="112" xfId="0" applyFont="1" applyFill="1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80" fontId="30" fillId="26" borderId="79" xfId="0" applyNumberFormat="1" applyFont="1" applyFill="1" applyBorder="1">
      <alignment vertical="center"/>
    </xf>
    <xf numFmtId="180" fontId="30" fillId="27" borderId="76" xfId="0" applyNumberFormat="1" applyFont="1" applyFill="1" applyBorder="1">
      <alignment vertical="center"/>
    </xf>
    <xf numFmtId="180" fontId="30" fillId="27" borderId="112" xfId="0" applyNumberFormat="1" applyFont="1" applyFill="1" applyBorder="1" applyAlignment="1">
      <alignment horizontal="right" vertical="center"/>
    </xf>
    <xf numFmtId="180" fontId="30" fillId="27" borderId="77" xfId="0" applyNumberFormat="1" applyFont="1" applyFill="1" applyBorder="1" applyAlignment="1">
      <alignment horizontal="right" vertical="center"/>
    </xf>
    <xf numFmtId="0" fontId="39" fillId="24" borderId="22" xfId="0" applyFont="1" applyFill="1" applyBorder="1" applyAlignment="1">
      <alignment horizontal="center" vertical="center" wrapText="1"/>
    </xf>
    <xf numFmtId="0" fontId="39" fillId="24" borderId="0" xfId="0" applyFont="1" applyFill="1" applyAlignment="1">
      <alignment horizontal="center" vertical="center"/>
    </xf>
    <xf numFmtId="0" fontId="30" fillId="27" borderId="99" xfId="0" applyFont="1" applyFill="1" applyBorder="1" applyAlignment="1">
      <alignment horizontal="center" vertical="center"/>
    </xf>
    <xf numFmtId="0" fontId="30" fillId="27" borderId="131" xfId="0" applyFont="1" applyFill="1" applyBorder="1" applyAlignment="1">
      <alignment horizontal="center" vertical="center"/>
    </xf>
    <xf numFmtId="0" fontId="30" fillId="27" borderId="106" xfId="0" applyFont="1" applyFill="1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176" fontId="31" fillId="24" borderId="0" xfId="0" applyNumberFormat="1" applyFont="1" applyFill="1" applyAlignment="1">
      <alignment horizontal="right" vertical="center"/>
    </xf>
    <xf numFmtId="176" fontId="40" fillId="28" borderId="108" xfId="0" applyNumberFormat="1" applyFont="1" applyFill="1" applyBorder="1" applyAlignment="1">
      <alignment horizontal="right" vertical="center"/>
    </xf>
    <xf numFmtId="0" fontId="25" fillId="24" borderId="0" xfId="0" applyFont="1" applyFill="1" applyAlignment="1">
      <alignment horizontal="right" vertical="center"/>
    </xf>
    <xf numFmtId="0" fontId="0" fillId="0" borderId="108" xfId="0" applyBorder="1" applyAlignment="1">
      <alignment horizontal="right" vertical="center"/>
    </xf>
    <xf numFmtId="0" fontId="39" fillId="24" borderId="22" xfId="0" applyFont="1" applyFill="1" applyBorder="1" applyAlignment="1">
      <alignment horizontal="right" vertical="center"/>
    </xf>
    <xf numFmtId="0" fontId="39" fillId="24" borderId="0" xfId="0" applyFont="1" applyFill="1" applyAlignment="1">
      <alignment horizontal="right" vertical="center"/>
    </xf>
    <xf numFmtId="0" fontId="39" fillId="0" borderId="22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0" fillId="26" borderId="92" xfId="0" applyFont="1" applyFill="1" applyBorder="1" applyAlignment="1">
      <alignment horizontal="center" vertical="center"/>
    </xf>
    <xf numFmtId="0" fontId="30" fillId="26" borderId="93" xfId="0" applyFont="1" applyFill="1" applyBorder="1" applyAlignment="1">
      <alignment horizontal="center" vertical="center"/>
    </xf>
    <xf numFmtId="0" fontId="30" fillId="26" borderId="94" xfId="0" applyFont="1" applyFill="1" applyBorder="1" applyAlignment="1">
      <alignment horizontal="center" vertical="center"/>
    </xf>
    <xf numFmtId="0" fontId="30" fillId="26" borderId="106" xfId="0" applyFont="1" applyFill="1" applyBorder="1" applyAlignment="1">
      <alignment horizontal="center" vertical="center"/>
    </xf>
    <xf numFmtId="0" fontId="20" fillId="24" borderId="22" xfId="0" applyFont="1" applyFill="1" applyBorder="1" applyAlignment="1">
      <alignment horizontal="center" vertical="center"/>
    </xf>
    <xf numFmtId="0" fontId="20" fillId="24" borderId="62" xfId="0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39" fillId="24" borderId="22" xfId="0" applyFont="1" applyFill="1" applyBorder="1" applyAlignment="1">
      <alignment horizontal="center" vertical="center"/>
    </xf>
    <xf numFmtId="0" fontId="39" fillId="24" borderId="0" xfId="0" applyFont="1" applyFill="1" applyAlignment="1">
      <alignment horizontal="center" vertical="center" wrapText="1"/>
    </xf>
    <xf numFmtId="10" fontId="40" fillId="37" borderId="126" xfId="0" applyNumberFormat="1" applyFont="1" applyFill="1" applyBorder="1">
      <alignment vertical="center"/>
    </xf>
    <xf numFmtId="0" fontId="40" fillId="37" borderId="56" xfId="0" applyFont="1" applyFill="1" applyBorder="1">
      <alignment vertical="center"/>
    </xf>
    <xf numFmtId="0" fontId="40" fillId="37" borderId="57" xfId="0" applyFont="1" applyFill="1" applyBorder="1">
      <alignment vertical="center"/>
    </xf>
    <xf numFmtId="176" fontId="40" fillId="24" borderId="126" xfId="0" applyNumberFormat="1" applyFont="1" applyFill="1" applyBorder="1">
      <alignment vertical="center"/>
    </xf>
    <xf numFmtId="0" fontId="40" fillId="24" borderId="57" xfId="0" applyFont="1" applyFill="1" applyBorder="1">
      <alignment vertical="center"/>
    </xf>
    <xf numFmtId="176" fontId="40" fillId="24" borderId="130" xfId="0" applyNumberFormat="1" applyFont="1" applyFill="1" applyBorder="1" applyAlignment="1">
      <alignment horizontal="right" vertical="center"/>
    </xf>
    <xf numFmtId="176" fontId="40" fillId="24" borderId="27" xfId="0" applyNumberFormat="1" applyFont="1" applyFill="1" applyBorder="1" applyAlignment="1">
      <alignment horizontal="right" vertical="center"/>
    </xf>
    <xf numFmtId="176" fontId="40" fillId="28" borderId="40" xfId="0" applyNumberFormat="1" applyFont="1" applyFill="1" applyBorder="1" applyAlignment="1">
      <alignment horizontal="right" vertical="center"/>
    </xf>
    <xf numFmtId="176" fontId="42" fillId="0" borderId="72" xfId="0" applyNumberFormat="1" applyFont="1" applyBorder="1" applyAlignment="1">
      <alignment horizontal="right" vertical="center"/>
    </xf>
    <xf numFmtId="0" fontId="54" fillId="0" borderId="72" xfId="0" applyFont="1" applyBorder="1" applyAlignment="1">
      <alignment horizontal="right" vertical="center"/>
    </xf>
    <xf numFmtId="0" fontId="30" fillId="27" borderId="92" xfId="0" applyFont="1" applyFill="1" applyBorder="1" applyAlignment="1">
      <alignment horizontal="center" vertical="center"/>
    </xf>
    <xf numFmtId="0" fontId="30" fillId="27" borderId="93" xfId="0" applyFont="1" applyFill="1" applyBorder="1" applyAlignment="1">
      <alignment horizontal="center" vertical="center"/>
    </xf>
    <xf numFmtId="0" fontId="30" fillId="27" borderId="122" xfId="0" applyFont="1" applyFill="1" applyBorder="1" applyAlignment="1">
      <alignment horizontal="center" vertical="center"/>
    </xf>
    <xf numFmtId="0" fontId="30" fillId="25" borderId="139" xfId="0" applyFont="1" applyFill="1" applyBorder="1" applyAlignment="1">
      <alignment horizontal="center" vertical="center"/>
    </xf>
    <xf numFmtId="0" fontId="30" fillId="25" borderId="140" xfId="0" applyFont="1" applyFill="1" applyBorder="1" applyAlignment="1">
      <alignment horizontal="center" vertical="center"/>
    </xf>
    <xf numFmtId="0" fontId="30" fillId="25" borderId="99" xfId="0" applyFont="1" applyFill="1" applyBorder="1" applyAlignment="1">
      <alignment horizontal="center" vertical="center"/>
    </xf>
    <xf numFmtId="0" fontId="30" fillId="25" borderId="131" xfId="0" applyFont="1" applyFill="1" applyBorder="1" applyAlignment="1">
      <alignment horizontal="center" vertical="center"/>
    </xf>
    <xf numFmtId="0" fontId="30" fillId="25" borderId="95" xfId="0" applyFont="1" applyFill="1" applyBorder="1" applyAlignment="1">
      <alignment horizontal="center" vertical="center"/>
    </xf>
    <xf numFmtId="0" fontId="30" fillId="25" borderId="96" xfId="0" applyFont="1" applyFill="1" applyBorder="1" applyAlignment="1">
      <alignment horizontal="center" vertical="center"/>
    </xf>
    <xf numFmtId="0" fontId="39" fillId="24" borderId="59" xfId="0" applyFont="1" applyFill="1" applyBorder="1" applyAlignment="1">
      <alignment horizontal="right" vertical="center"/>
    </xf>
    <xf numFmtId="0" fontId="41" fillId="24" borderId="22" xfId="0" applyFont="1" applyFill="1" applyBorder="1" applyAlignment="1">
      <alignment horizontal="center" vertical="center" wrapText="1"/>
    </xf>
    <xf numFmtId="0" fontId="41" fillId="24" borderId="59" xfId="0" applyFont="1" applyFill="1" applyBorder="1" applyAlignment="1">
      <alignment horizontal="center" vertical="center" wrapText="1"/>
    </xf>
    <xf numFmtId="176" fontId="40" fillId="24" borderId="60" xfId="0" applyNumberFormat="1" applyFont="1" applyFill="1" applyBorder="1">
      <alignment vertical="center"/>
    </xf>
    <xf numFmtId="0" fontId="40" fillId="24" borderId="61" xfId="0" applyFont="1" applyFill="1" applyBorder="1">
      <alignment vertical="center"/>
    </xf>
    <xf numFmtId="176" fontId="42" fillId="24" borderId="72" xfId="0" applyNumberFormat="1" applyFont="1" applyFill="1" applyBorder="1" applyAlignment="1">
      <alignment horizontal="right" vertical="center"/>
    </xf>
    <xf numFmtId="0" fontId="30" fillId="36" borderId="99" xfId="0" applyFont="1" applyFill="1" applyBorder="1" applyAlignment="1">
      <alignment horizontal="center" vertical="center"/>
    </xf>
    <xf numFmtId="0" fontId="30" fillId="36" borderId="131" xfId="0" applyFont="1" applyFill="1" applyBorder="1" applyAlignment="1">
      <alignment horizontal="center" vertical="center"/>
    </xf>
    <xf numFmtId="0" fontId="0" fillId="0" borderId="72" xfId="0" applyBorder="1" applyAlignment="1">
      <alignment horizontal="right" vertical="center"/>
    </xf>
    <xf numFmtId="10" fontId="40" fillId="37" borderId="55" xfId="0" applyNumberFormat="1" applyFont="1" applyFill="1" applyBorder="1">
      <alignment vertical="center"/>
    </xf>
    <xf numFmtId="176" fontId="40" fillId="28" borderId="0" xfId="0" applyNumberFormat="1" applyFont="1" applyFill="1" applyAlignment="1">
      <alignment horizontal="right" vertical="center"/>
    </xf>
    <xf numFmtId="176" fontId="44" fillId="24" borderId="0" xfId="0" applyNumberFormat="1" applyFont="1" applyFill="1" applyAlignment="1">
      <alignment horizontal="center" vertical="center"/>
    </xf>
    <xf numFmtId="0" fontId="44" fillId="24" borderId="0" xfId="0" applyFont="1" applyFill="1" applyAlignment="1">
      <alignment horizontal="center" vertical="center"/>
    </xf>
    <xf numFmtId="176" fontId="33" fillId="24" borderId="0" xfId="0" applyNumberFormat="1" applyFont="1" applyFill="1" applyAlignment="1">
      <alignment horizontal="right" vertical="center"/>
    </xf>
    <xf numFmtId="176" fontId="38" fillId="24" borderId="58" xfId="0" applyNumberFormat="1" applyFont="1" applyFill="1" applyBorder="1" applyAlignment="1">
      <alignment horizontal="right" vertical="center" indent="1"/>
    </xf>
    <xf numFmtId="176" fontId="38" fillId="24" borderId="30" xfId="0" applyNumberFormat="1" applyFont="1" applyFill="1" applyBorder="1" applyAlignment="1">
      <alignment horizontal="right" vertical="center" indent="1"/>
    </xf>
    <xf numFmtId="176" fontId="38" fillId="24" borderId="19" xfId="0" applyNumberFormat="1" applyFont="1" applyFill="1" applyBorder="1" applyAlignment="1">
      <alignment horizontal="right" vertical="center" indent="1"/>
    </xf>
    <xf numFmtId="0" fontId="25" fillId="24" borderId="0" xfId="0" applyFont="1" applyFill="1">
      <alignment vertical="center"/>
    </xf>
    <xf numFmtId="176" fontId="45" fillId="24" borderId="53" xfId="0" applyNumberFormat="1" applyFont="1" applyFill="1" applyBorder="1" applyAlignment="1">
      <alignment horizontal="right" vertical="center" indent="1"/>
    </xf>
    <xf numFmtId="176" fontId="45" fillId="24" borderId="28" xfId="0" applyNumberFormat="1" applyFont="1" applyFill="1" applyBorder="1" applyAlignment="1">
      <alignment horizontal="right" vertical="center" indent="1"/>
    </xf>
    <xf numFmtId="176" fontId="45" fillId="24" borderId="54" xfId="0" applyNumberFormat="1" applyFont="1" applyFill="1" applyBorder="1" applyAlignment="1">
      <alignment horizontal="right" vertical="center" indent="1"/>
    </xf>
    <xf numFmtId="176" fontId="44" fillId="24" borderId="20" xfId="0" applyNumberFormat="1" applyFont="1" applyFill="1" applyBorder="1" applyAlignment="1">
      <alignment horizontal="center" vertical="center"/>
    </xf>
    <xf numFmtId="0" fontId="44" fillId="24" borderId="20" xfId="0" applyFont="1" applyFill="1" applyBorder="1" applyAlignment="1">
      <alignment horizontal="center" vertical="center"/>
    </xf>
    <xf numFmtId="176" fontId="33" fillId="24" borderId="20" xfId="0" applyNumberFormat="1" applyFont="1" applyFill="1" applyBorder="1" applyAlignment="1">
      <alignment horizontal="right" vertical="center"/>
    </xf>
    <xf numFmtId="0" fontId="56" fillId="24" borderId="22" xfId="0" applyFont="1" applyFill="1" applyBorder="1" applyAlignment="1">
      <alignment horizontal="center" vertical="center" wrapText="1"/>
    </xf>
    <xf numFmtId="0" fontId="56" fillId="24" borderId="0" xfId="0" applyFont="1" applyFill="1" applyAlignment="1">
      <alignment horizontal="center" vertical="center" wrapText="1"/>
    </xf>
    <xf numFmtId="176" fontId="64" fillId="28" borderId="108" xfId="0" applyNumberFormat="1" applyFont="1" applyFill="1" applyBorder="1" applyAlignment="1">
      <alignment horizontal="right" vertical="center"/>
    </xf>
    <xf numFmtId="0" fontId="62" fillId="0" borderId="108" xfId="0" applyFont="1" applyBorder="1" applyAlignment="1">
      <alignment horizontal="right" vertical="center"/>
    </xf>
    <xf numFmtId="176" fontId="64" fillId="28" borderId="0" xfId="0" applyNumberFormat="1" applyFont="1" applyFill="1" applyAlignment="1">
      <alignment horizontal="right" vertical="center"/>
    </xf>
    <xf numFmtId="0" fontId="63" fillId="26" borderId="106" xfId="0" applyFont="1" applyFill="1" applyBorder="1" applyAlignment="1">
      <alignment horizontal="center" vertical="center"/>
    </xf>
    <xf numFmtId="0" fontId="62" fillId="0" borderId="106" xfId="0" applyFont="1" applyBorder="1" applyAlignment="1">
      <alignment horizontal="center" vertical="center"/>
    </xf>
    <xf numFmtId="0" fontId="63" fillId="36" borderId="99" xfId="0" applyFont="1" applyFill="1" applyBorder="1" applyAlignment="1">
      <alignment horizontal="center" vertical="center"/>
    </xf>
    <xf numFmtId="0" fontId="63" fillId="36" borderId="131" xfId="0" applyFont="1" applyFill="1" applyBorder="1" applyAlignment="1">
      <alignment horizontal="center" vertical="center"/>
    </xf>
    <xf numFmtId="0" fontId="63" fillId="26" borderId="106" xfId="0" applyFont="1" applyFill="1" applyBorder="1" applyAlignment="1">
      <alignment horizontal="center" vertical="center" wrapText="1"/>
    </xf>
    <xf numFmtId="0" fontId="62" fillId="0" borderId="106" xfId="0" applyFont="1" applyBorder="1" applyAlignment="1">
      <alignment horizontal="center" vertical="center" wrapText="1"/>
    </xf>
    <xf numFmtId="176" fontId="64" fillId="24" borderId="130" xfId="0" applyNumberFormat="1" applyFont="1" applyFill="1" applyBorder="1" applyAlignment="1">
      <alignment horizontal="right" vertical="center"/>
    </xf>
    <xf numFmtId="0" fontId="56" fillId="24" borderId="22" xfId="0" applyFont="1" applyFill="1" applyBorder="1" applyAlignment="1">
      <alignment horizontal="center" vertical="center"/>
    </xf>
    <xf numFmtId="0" fontId="56" fillId="24" borderId="0" xfId="0" applyFont="1" applyFill="1" applyAlignment="1">
      <alignment horizontal="center" vertical="center"/>
    </xf>
    <xf numFmtId="10" fontId="64" fillId="37" borderId="55" xfId="0" applyNumberFormat="1" applyFont="1" applyFill="1" applyBorder="1">
      <alignment vertical="center"/>
    </xf>
    <xf numFmtId="0" fontId="64" fillId="37" borderId="56" xfId="0" applyFont="1" applyFill="1" applyBorder="1">
      <alignment vertical="center"/>
    </xf>
    <xf numFmtId="0" fontId="64" fillId="37" borderId="57" xfId="0" applyFont="1" applyFill="1" applyBorder="1">
      <alignment vertical="center"/>
    </xf>
    <xf numFmtId="176" fontId="64" fillId="24" borderId="60" xfId="0" applyNumberFormat="1" applyFont="1" applyFill="1" applyBorder="1">
      <alignment vertical="center"/>
    </xf>
    <xf numFmtId="0" fontId="64" fillId="24" borderId="61" xfId="0" applyFont="1" applyFill="1" applyBorder="1">
      <alignment vertical="center"/>
    </xf>
    <xf numFmtId="0" fontId="63" fillId="26" borderId="92" xfId="0" applyFont="1" applyFill="1" applyBorder="1" applyAlignment="1">
      <alignment horizontal="center" vertical="center"/>
    </xf>
    <xf numFmtId="0" fontId="63" fillId="26" borderId="93" xfId="0" applyFont="1" applyFill="1" applyBorder="1" applyAlignment="1">
      <alignment horizontal="center" vertical="center"/>
    </xf>
    <xf numFmtId="0" fontId="63" fillId="26" borderId="94" xfId="0" applyFont="1" applyFill="1" applyBorder="1" applyAlignment="1">
      <alignment horizontal="center" vertical="center"/>
    </xf>
    <xf numFmtId="0" fontId="56" fillId="24" borderId="22" xfId="0" applyFont="1" applyFill="1" applyBorder="1" applyAlignment="1">
      <alignment horizontal="right" vertical="center"/>
    </xf>
    <xf numFmtId="0" fontId="56" fillId="24" borderId="0" xfId="0" applyFont="1" applyFill="1" applyAlignment="1">
      <alignment horizontal="right" vertical="center"/>
    </xf>
    <xf numFmtId="0" fontId="56" fillId="0" borderId="22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46" fillId="35" borderId="121" xfId="0" applyFont="1" applyFill="1" applyBorder="1" applyAlignment="1">
      <alignment horizontal="center" vertical="center" wrapText="1"/>
    </xf>
    <xf numFmtId="0" fontId="61" fillId="0" borderId="121" xfId="0" applyFont="1" applyBorder="1" applyAlignment="1">
      <alignment vertical="center" wrapText="1"/>
    </xf>
    <xf numFmtId="0" fontId="20" fillId="25" borderId="112" xfId="0" applyFont="1" applyFill="1" applyBorder="1">
      <alignment vertical="center"/>
    </xf>
    <xf numFmtId="180" fontId="30" fillId="39" borderId="144" xfId="0" applyNumberFormat="1" applyFont="1" applyFill="1" applyBorder="1" applyAlignment="1">
      <alignment horizontal="right" vertical="center"/>
    </xf>
    <xf numFmtId="180" fontId="30" fillId="39" borderId="144" xfId="0" applyNumberFormat="1" applyFont="1" applyFill="1" applyBorder="1">
      <alignment vertical="center"/>
    </xf>
    <xf numFmtId="180" fontId="0" fillId="39" borderId="112" xfId="0" applyNumberFormat="1" applyFill="1" applyBorder="1">
      <alignment vertical="center"/>
    </xf>
    <xf numFmtId="0" fontId="23" fillId="39" borderId="144" xfId="0" applyFont="1" applyFill="1" applyBorder="1" applyAlignment="1">
      <alignment horizontal="center" vertical="center" wrapText="1"/>
    </xf>
    <xf numFmtId="0" fontId="67" fillId="39" borderId="112" xfId="0" applyFont="1" applyFill="1" applyBorder="1" applyAlignment="1">
      <alignment horizontal="center" vertical="center" wrapText="1"/>
    </xf>
    <xf numFmtId="0" fontId="67" fillId="39" borderId="113" xfId="0" applyFont="1" applyFill="1" applyBorder="1" applyAlignment="1">
      <alignment horizontal="center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20政令指定都市料率等" xfId="42" xr:uid="{00000000-0005-0000-0000-00002A000000}"/>
    <cellStyle name="標準_Sheet1" xfId="43" xr:uid="{00000000-0005-0000-0000-00002B000000}"/>
    <cellStyle name="良い" xfId="44" builtinId="26" customBuiltin="1"/>
  </cellStyles>
  <dxfs count="11">
    <dxf>
      <fill>
        <patternFill>
          <bgColor rgb="FFFFFF66"/>
        </patternFill>
      </fill>
    </dxf>
    <dxf>
      <fill>
        <patternFill>
          <bgColor rgb="FFFFFF99"/>
        </patternFill>
      </fill>
    </dxf>
    <dxf>
      <border>
        <left/>
        <right style="thin">
          <color rgb="FF969696"/>
        </right>
        <top style="thin">
          <color rgb="FF969696"/>
        </top>
        <bottom style="thin">
          <color rgb="FF969696"/>
        </bottom>
        <vertical/>
        <horizontal/>
      </border>
    </dxf>
    <dxf>
      <fill>
        <patternFill>
          <bgColor rgb="FFFFFF99"/>
        </patternFill>
      </fill>
    </dxf>
    <dxf>
      <border>
        <left style="thin">
          <color rgb="FF969696"/>
        </left>
        <right/>
        <top style="thin">
          <color rgb="FF969696"/>
        </top>
        <bottom style="thin">
          <color rgb="FF969696"/>
        </bottom>
        <vertical/>
        <horizontal/>
      </border>
    </dxf>
    <dxf>
      <fill>
        <patternFill>
          <bgColor rgb="FF99CCFF"/>
        </patternFill>
      </fill>
    </dxf>
    <dxf>
      <border>
        <left/>
        <right style="thin">
          <color rgb="FF969696"/>
        </right>
        <top style="thin">
          <color rgb="FF969696"/>
        </top>
        <bottom style="thin">
          <color rgb="FF969696"/>
        </bottom>
        <vertical/>
        <horizontal/>
      </border>
    </dxf>
    <dxf>
      <fill>
        <patternFill>
          <bgColor rgb="FF99CCFF"/>
        </patternFill>
      </fill>
    </dxf>
    <dxf>
      <border>
        <left style="thin">
          <color rgb="FF969696"/>
        </left>
        <right/>
        <top style="thin">
          <color rgb="FF969696"/>
        </top>
        <bottom style="thin">
          <color rgb="FF969696"/>
        </bottom>
        <vertical/>
        <horizontal/>
      </border>
    </dxf>
    <dxf>
      <fill>
        <patternFill>
          <bgColor rgb="FFCCFFCC"/>
        </patternFill>
      </fill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DDDD"/>
      <rgbColor rgb="00DDDDDD"/>
      <rgbColor rgb="00FFFFCC"/>
      <rgbColor rgb="00CCFFFF"/>
      <rgbColor rgb="00660066"/>
      <rgbColor rgb="00FF8080"/>
      <rgbColor rgb="000066CC"/>
      <rgbColor rgb="00CCCCFF"/>
      <rgbColor rgb="00000080"/>
      <rgbColor rgb="00EAEAEA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FFFF99"/>
      <color rgb="FF99CCFF"/>
      <color rgb="FF969696"/>
      <color rgb="FFCC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Link="★計算基準!$C$19" fmlaRange="★計算基準!$C$3:$C$7" noThreeD="1" sel="2" val="0"/>
</file>

<file path=xl/ctrlProps/ctrlProp10.xml><?xml version="1.0" encoding="utf-8"?>
<formControlPr xmlns="http://schemas.microsoft.com/office/spreadsheetml/2009/9/main" objectType="CheckBox" fmlaLink="★計算基準!$K$8" lockText="1" noThreeD="1"/>
</file>

<file path=xl/ctrlProps/ctrlProp11.xml><?xml version="1.0" encoding="utf-8"?>
<formControlPr xmlns="http://schemas.microsoft.com/office/spreadsheetml/2009/9/main" objectType="CheckBox" fmlaLink="★計算基準!$K$7" lockText="1" noThreeD="1"/>
</file>

<file path=xl/ctrlProps/ctrlProp12.xml><?xml version="1.0" encoding="utf-8"?>
<formControlPr xmlns="http://schemas.microsoft.com/office/spreadsheetml/2009/9/main" objectType="CheckBox" fmlaLink="★計算基準!$K$6" lockText="1" noThreeD="1"/>
</file>

<file path=xl/ctrlProps/ctrlProp13.xml><?xml version="1.0" encoding="utf-8"?>
<formControlPr xmlns="http://schemas.microsoft.com/office/spreadsheetml/2009/9/main" objectType="Drop" dropStyle="combo" dx="16" fmlaLink="★計算基準!$A$19" fmlaRange="★計算基準!$A$3:$A$4" noThreeD="1" sel="1" val="0"/>
</file>

<file path=xl/ctrlProps/ctrlProp14.xml><?xml version="1.0" encoding="utf-8"?>
<formControlPr xmlns="http://schemas.microsoft.com/office/spreadsheetml/2009/9/main" objectType="CheckBox" checked="Checked" fmlaLink="★計算基準!$F$19" lockText="1" noThreeD="1"/>
</file>

<file path=xl/ctrlProps/ctrlProp15.xml><?xml version="1.0" encoding="utf-8"?>
<formControlPr xmlns="http://schemas.microsoft.com/office/spreadsheetml/2009/9/main" objectType="CheckBox" fmlaLink="★計算基準!$F$21" lockText="1" noThreeD="1"/>
</file>

<file path=xl/ctrlProps/ctrlProp16.xml><?xml version="1.0" encoding="utf-8"?>
<formControlPr xmlns="http://schemas.microsoft.com/office/spreadsheetml/2009/9/main" objectType="CheckBox" fmlaLink="★計算基準!$F$20" lockText="1" noThreeD="1"/>
</file>

<file path=xl/ctrlProps/ctrlProp17.xml><?xml version="1.0" encoding="utf-8"?>
<formControlPr xmlns="http://schemas.microsoft.com/office/spreadsheetml/2009/9/main" objectType="CheckBox" fmlaLink="★計算基準!$F$22" lockText="1" noThreeD="1"/>
</file>

<file path=xl/ctrlProps/ctrlProp18.xml><?xml version="1.0" encoding="utf-8"?>
<formControlPr xmlns="http://schemas.microsoft.com/office/spreadsheetml/2009/9/main" objectType="CheckBox" fmlaLink="★計算基準!$F$23" lockText="1" noThreeD="1"/>
</file>

<file path=xl/ctrlProps/ctrlProp19.xml><?xml version="1.0" encoding="utf-8"?>
<formControlPr xmlns="http://schemas.microsoft.com/office/spreadsheetml/2009/9/main" objectType="CheckBox" fmlaLink="★計算基準!$F$24" lockText="1" noThreeD="1"/>
</file>

<file path=xl/ctrlProps/ctrlProp2.xml><?xml version="1.0" encoding="utf-8"?>
<formControlPr xmlns="http://schemas.microsoft.com/office/spreadsheetml/2009/9/main" objectType="Drop" dropStyle="combo" dx="16" fmlaLink="★計算基準!$C$20" fmlaRange="★計算基準!$E$3:$E$7" noThreeD="1" sel="1" val="0"/>
</file>

<file path=xl/ctrlProps/ctrlProp3.xml><?xml version="1.0" encoding="utf-8"?>
<formControlPr xmlns="http://schemas.microsoft.com/office/spreadsheetml/2009/9/main" objectType="Drop" dropStyle="combo" dx="16" fmlaLink="★計算基準!$C$21" fmlaRange="★計算基準!$E$3:$E$7" noThreeD="1" sel="1" val="0"/>
</file>

<file path=xl/ctrlProps/ctrlProp4.xml><?xml version="1.0" encoding="utf-8"?>
<formControlPr xmlns="http://schemas.microsoft.com/office/spreadsheetml/2009/9/main" objectType="Drop" dropStyle="combo" dx="16" fmlaLink="★計算基準!$C$22" fmlaRange="★計算基準!$E$3:$E$7" noThreeD="1" sel="1" val="0"/>
</file>

<file path=xl/ctrlProps/ctrlProp5.xml><?xml version="1.0" encoding="utf-8"?>
<formControlPr xmlns="http://schemas.microsoft.com/office/spreadsheetml/2009/9/main" objectType="Drop" dropStyle="combo" dx="16" fmlaLink="★計算基準!$C$23" fmlaRange="★計算基準!$E$3:$E$7" noThreeD="1" sel="1" val="0"/>
</file>

<file path=xl/ctrlProps/ctrlProp6.xml><?xml version="1.0" encoding="utf-8"?>
<formControlPr xmlns="http://schemas.microsoft.com/office/spreadsheetml/2009/9/main" objectType="Drop" dropStyle="combo" dx="16" fmlaLink="★計算基準!$C$24" fmlaRange="★計算基準!$E$3:$E$7" noThreeD="1" sel="1" val="0"/>
</file>

<file path=xl/ctrlProps/ctrlProp7.xml><?xml version="1.0" encoding="utf-8"?>
<formControlPr xmlns="http://schemas.microsoft.com/office/spreadsheetml/2009/9/main" objectType="CheckBox" fmlaLink="★計算基準!$K$3" noThreeD="1"/>
</file>

<file path=xl/ctrlProps/ctrlProp8.xml><?xml version="1.0" encoding="utf-8"?>
<formControlPr xmlns="http://schemas.microsoft.com/office/spreadsheetml/2009/9/main" objectType="CheckBox" fmlaLink="★計算基準!$K$5" lockText="1" noThreeD="1"/>
</file>

<file path=xl/ctrlProps/ctrlProp9.xml><?xml version="1.0" encoding="utf-8"?>
<formControlPr xmlns="http://schemas.microsoft.com/office/spreadsheetml/2009/9/main" objectType="CheckBox" fmlaLink="★計算基準!$K$4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cms2.city.kitakata.fukushima.jp/soshiki/zeimu/56240.htm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114300</xdr:rowOff>
    </xdr:from>
    <xdr:to>
      <xdr:col>46</xdr:col>
      <xdr:colOff>57151</xdr:colOff>
      <xdr:row>2</xdr:row>
      <xdr:rowOff>28575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33350" y="114300"/>
          <a:ext cx="9229726" cy="409575"/>
        </a:xfrm>
        <a:prstGeom prst="rect">
          <a:avLst/>
        </a:prstGeom>
        <a:ln>
          <a:headEnd/>
          <a:tailEnd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FFFF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令和８年度　喜多方市　国民健康保険税の試算シート</a:t>
          </a:r>
        </a:p>
      </xdr:txBody>
    </xdr:sp>
    <xdr:clientData/>
  </xdr:twoCellAnchor>
  <xdr:twoCellAnchor>
    <xdr:from>
      <xdr:col>1</xdr:col>
      <xdr:colOff>0</xdr:colOff>
      <xdr:row>2</xdr:row>
      <xdr:rowOff>123826</xdr:rowOff>
    </xdr:from>
    <xdr:to>
      <xdr:col>39</xdr:col>
      <xdr:colOff>145677</xdr:colOff>
      <xdr:row>3</xdr:row>
      <xdr:rowOff>228600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90500" y="619126"/>
          <a:ext cx="8022852" cy="352424"/>
        </a:xfrm>
        <a:prstGeom prst="rect">
          <a:avLst/>
        </a:prstGeom>
        <a:solidFill>
          <a:srgbClr val="FFFFFF"/>
        </a:solidFill>
        <a:ln w="9525">
          <a:noFill/>
          <a:prstDash val="dash"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この計算シートでは、おおよその年間保険税と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ヶ月あたりの保険税の計算ができます。</a:t>
          </a:r>
          <a:endParaRPr lang="en-US" altLang="ja-JP" sz="105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133350</xdr:colOff>
      <xdr:row>22</xdr:row>
      <xdr:rowOff>9525</xdr:rowOff>
    </xdr:from>
    <xdr:to>
      <xdr:col>10</xdr:col>
      <xdr:colOff>9525</xdr:colOff>
      <xdr:row>22</xdr:row>
      <xdr:rowOff>238125</xdr:rowOff>
    </xdr:to>
    <xdr:grpSp>
      <xdr:nvGrpSpPr>
        <xdr:cNvPr id="6903" name="Group 11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GrpSpPr>
          <a:grpSpLocks/>
        </xdr:cNvGrpSpPr>
      </xdr:nvGrpSpPr>
      <xdr:grpSpPr bwMode="auto">
        <a:xfrm>
          <a:off x="1724025" y="7277100"/>
          <a:ext cx="295275" cy="228600"/>
          <a:chOff x="135" y="487"/>
          <a:chExt cx="29" cy="24"/>
        </a:xfrm>
      </xdr:grpSpPr>
      <xdr:sp macro="" textlink="">
        <xdr:nvSpPr>
          <xdr:cNvPr id="6924" name="Oval 9">
            <a:extLst>
              <a:ext uri="{FF2B5EF4-FFF2-40B4-BE49-F238E27FC236}">
                <a16:creationId xmlns:a16="http://schemas.microsoft.com/office/drawing/2014/main" id="{00000000-0008-0000-0000-00000C1B0000}"/>
              </a:ext>
            </a:extLst>
          </xdr:cNvPr>
          <xdr:cNvSpPr>
            <a:spLocks noChangeArrowheads="1"/>
          </xdr:cNvSpPr>
        </xdr:nvSpPr>
        <xdr:spPr bwMode="auto">
          <a:xfrm>
            <a:off x="135" y="487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4" name="Text Box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5" y="487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</xdr:grpSp>
    <xdr:clientData/>
  </xdr:twoCellAnchor>
  <xdr:twoCellAnchor>
    <xdr:from>
      <xdr:col>15</xdr:col>
      <xdr:colOff>142875</xdr:colOff>
      <xdr:row>22</xdr:row>
      <xdr:rowOff>9525</xdr:rowOff>
    </xdr:from>
    <xdr:to>
      <xdr:col>17</xdr:col>
      <xdr:colOff>19050</xdr:colOff>
      <xdr:row>22</xdr:row>
      <xdr:rowOff>238125</xdr:rowOff>
    </xdr:to>
    <xdr:grpSp>
      <xdr:nvGrpSpPr>
        <xdr:cNvPr id="6904" name="Group 18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GrpSpPr>
          <a:grpSpLocks/>
        </xdr:cNvGrpSpPr>
      </xdr:nvGrpSpPr>
      <xdr:grpSpPr bwMode="auto">
        <a:xfrm>
          <a:off x="3200400" y="7277100"/>
          <a:ext cx="295275" cy="228600"/>
          <a:chOff x="248" y="493"/>
          <a:chExt cx="29" cy="24"/>
        </a:xfrm>
      </xdr:grpSpPr>
      <xdr:sp macro="" textlink="">
        <xdr:nvSpPr>
          <xdr:cNvPr id="6922" name="Oval 13">
            <a:extLst>
              <a:ext uri="{FF2B5EF4-FFF2-40B4-BE49-F238E27FC236}">
                <a16:creationId xmlns:a16="http://schemas.microsoft.com/office/drawing/2014/main" id="{00000000-0008-0000-0000-00000A1B0000}"/>
              </a:ext>
            </a:extLst>
          </xdr:cNvPr>
          <xdr:cNvSpPr>
            <a:spLocks noChangeArrowheads="1"/>
          </xdr:cNvSpPr>
        </xdr:nvSpPr>
        <xdr:spPr bwMode="auto"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8" name="Text Box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</xdr:grpSp>
    <xdr:clientData/>
  </xdr:twoCellAnchor>
  <xdr:twoCellAnchor>
    <xdr:from>
      <xdr:col>22</xdr:col>
      <xdr:colOff>171450</xdr:colOff>
      <xdr:row>22</xdr:row>
      <xdr:rowOff>9525</xdr:rowOff>
    </xdr:from>
    <xdr:to>
      <xdr:col>24</xdr:col>
      <xdr:colOff>47625</xdr:colOff>
      <xdr:row>22</xdr:row>
      <xdr:rowOff>238125</xdr:rowOff>
    </xdr:to>
    <xdr:grpSp>
      <xdr:nvGrpSpPr>
        <xdr:cNvPr id="6905" name="Group 19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GrpSpPr>
          <a:grpSpLocks/>
        </xdr:cNvGrpSpPr>
      </xdr:nvGrpSpPr>
      <xdr:grpSpPr bwMode="auto">
        <a:xfrm>
          <a:off x="4695825" y="7277100"/>
          <a:ext cx="295275" cy="228600"/>
          <a:chOff x="373" y="493"/>
          <a:chExt cx="29" cy="24"/>
        </a:xfrm>
      </xdr:grpSpPr>
      <xdr:sp macro="" textlink="">
        <xdr:nvSpPr>
          <xdr:cNvPr id="6920" name="Oval 16">
            <a:extLst>
              <a:ext uri="{FF2B5EF4-FFF2-40B4-BE49-F238E27FC236}">
                <a16:creationId xmlns:a16="http://schemas.microsoft.com/office/drawing/2014/main" id="{00000000-0008-0000-0000-0000081B0000}"/>
              </a:ext>
            </a:extLst>
          </xdr:cNvPr>
          <xdr:cNvSpPr>
            <a:spLocks noChangeArrowheads="1"/>
          </xdr:cNvSpPr>
        </xdr:nvSpPr>
        <xdr:spPr bwMode="auto">
          <a:xfrm>
            <a:off x="374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1" name="Text Box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3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</xdr:grpSp>
    <xdr:clientData/>
  </xdr:twoCellAnchor>
  <xdr:twoCellAnchor>
    <xdr:from>
      <xdr:col>36</xdr:col>
      <xdr:colOff>85725</xdr:colOff>
      <xdr:row>34</xdr:row>
      <xdr:rowOff>47625</xdr:rowOff>
    </xdr:from>
    <xdr:to>
      <xdr:col>37</xdr:col>
      <xdr:colOff>161925</xdr:colOff>
      <xdr:row>35</xdr:row>
      <xdr:rowOff>0</xdr:rowOff>
    </xdr:to>
    <xdr:grpSp>
      <xdr:nvGrpSpPr>
        <xdr:cNvPr id="6906" name="Group 32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GrpSpPr>
          <a:grpSpLocks/>
        </xdr:cNvGrpSpPr>
      </xdr:nvGrpSpPr>
      <xdr:grpSpPr bwMode="auto">
        <a:xfrm>
          <a:off x="7543800" y="10182225"/>
          <a:ext cx="285750" cy="390525"/>
          <a:chOff x="248" y="493"/>
          <a:chExt cx="29" cy="24"/>
        </a:xfrm>
      </xdr:grpSpPr>
      <xdr:sp macro="" textlink="">
        <xdr:nvSpPr>
          <xdr:cNvPr id="6918" name="Oval 33">
            <a:extLst>
              <a:ext uri="{FF2B5EF4-FFF2-40B4-BE49-F238E27FC236}">
                <a16:creationId xmlns:a16="http://schemas.microsoft.com/office/drawing/2014/main" id="{00000000-0008-0000-0000-0000061B0000}"/>
              </a:ext>
            </a:extLst>
          </xdr:cNvPr>
          <xdr:cNvSpPr>
            <a:spLocks noChangeArrowheads="1"/>
          </xdr:cNvSpPr>
        </xdr:nvSpPr>
        <xdr:spPr bwMode="auto"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8" name="Text Box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＝</a:t>
            </a:r>
          </a:p>
        </xdr:txBody>
      </xdr:sp>
    </xdr:grpSp>
    <xdr:clientData/>
  </xdr:twoCellAnchor>
  <xdr:twoCellAnchor>
    <xdr:from>
      <xdr:col>0</xdr:col>
      <xdr:colOff>175981</xdr:colOff>
      <xdr:row>3</xdr:row>
      <xdr:rowOff>466726</xdr:rowOff>
    </xdr:from>
    <xdr:to>
      <xdr:col>10</xdr:col>
      <xdr:colOff>22411</xdr:colOff>
      <xdr:row>4</xdr:row>
      <xdr:rowOff>333375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75981" y="1209676"/>
          <a:ext cx="1856205" cy="628649"/>
        </a:xfrm>
        <a:prstGeom prst="round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年齢区分</a:t>
          </a:r>
        </a:p>
      </xdr:txBody>
    </xdr:sp>
    <xdr:clientData/>
  </xdr:twoCellAnchor>
  <xdr:twoCellAnchor>
    <xdr:from>
      <xdr:col>0</xdr:col>
      <xdr:colOff>181366</xdr:colOff>
      <xdr:row>5</xdr:row>
      <xdr:rowOff>35860</xdr:rowOff>
    </xdr:from>
    <xdr:to>
      <xdr:col>10</xdr:col>
      <xdr:colOff>7845</xdr:colOff>
      <xdr:row>6</xdr:row>
      <xdr:rowOff>276226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81366" y="1921810"/>
          <a:ext cx="1836254" cy="621366"/>
        </a:xfrm>
        <a:prstGeom prst="roundRect">
          <a:avLst>
            <a:gd name="adj" fmla="val 12474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u="none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収入金額等</a:t>
          </a:r>
          <a:endParaRPr lang="ja-JP" altLang="ja-JP" sz="1100" u="none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180122</xdr:colOff>
      <xdr:row>6</xdr:row>
      <xdr:rowOff>358590</xdr:rowOff>
    </xdr:from>
    <xdr:to>
      <xdr:col>10</xdr:col>
      <xdr:colOff>7844</xdr:colOff>
      <xdr:row>7</xdr:row>
      <xdr:rowOff>352425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80122" y="2625540"/>
          <a:ext cx="1837497" cy="622485"/>
        </a:xfrm>
        <a:prstGeom prst="roundRect">
          <a:avLst>
            <a:gd name="adj" fmla="val 1366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非自発的失業者</a:t>
          </a:r>
        </a:p>
      </xdr:txBody>
    </xdr:sp>
    <xdr:clientData/>
  </xdr:twoCellAnchor>
  <xdr:twoCellAnchor>
    <xdr:from>
      <xdr:col>10</xdr:col>
      <xdr:colOff>57151</xdr:colOff>
      <xdr:row>3</xdr:row>
      <xdr:rowOff>458322</xdr:rowOff>
    </xdr:from>
    <xdr:to>
      <xdr:col>46</xdr:col>
      <xdr:colOff>38100</xdr:colOff>
      <xdr:row>4</xdr:row>
      <xdr:rowOff>333376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066926" y="1201272"/>
          <a:ext cx="7277099" cy="637054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lnSpc>
              <a:spcPts val="1100"/>
            </a:lnSpc>
          </a:pPr>
          <a:r>
            <a:rPr lang="ja-JP" altLang="en-US" sz="1000" b="0" i="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世帯主の年齢区分「小学生から３９歳」、「４０歳から６４歳」、「６５歳から７４歳」「７５歳以上」のいずれかを選択し、世帯主が国民健康保険に「加入する」又は「加入しない」を選択してください。</a:t>
          </a:r>
          <a:endParaRPr lang="en-US" altLang="ja-JP" sz="1000" b="0" i="0" baseline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1000" b="0" i="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他に加入がいる場合、</a:t>
          </a:r>
          <a:r>
            <a:rPr lang="ja-JP" altLang="ja-JP" sz="1000" b="0" i="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加入</a:t>
          </a:r>
          <a:r>
            <a:rPr lang="ja-JP" altLang="en-US" sz="1000" b="0" i="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者</a:t>
          </a:r>
          <a:r>
            <a:rPr lang="ja-JP" altLang="ja-JP" sz="1000" b="0" i="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の年齢区分「</a:t>
          </a:r>
          <a:r>
            <a:rPr lang="ja-JP" altLang="en-US" sz="1000" b="0" i="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未就学児」、「小学生から３９歳</a:t>
          </a:r>
          <a:r>
            <a:rPr lang="ja-JP" altLang="ja-JP" sz="1000" b="0" i="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</a:t>
          </a:r>
          <a:r>
            <a:rPr lang="ja-JP" altLang="en-US" sz="1000" b="0" i="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lang="ja-JP" altLang="ja-JP" sz="1000" b="0" i="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「４０歳から６４歳」</a:t>
          </a:r>
          <a:r>
            <a:rPr lang="ja-JP" altLang="en-US" sz="1000" b="0" i="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lang="ja-JP" altLang="ja-JP" sz="1000" b="0" i="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「６５歳から７４歳」</a:t>
          </a:r>
          <a:r>
            <a:rPr lang="ja-JP" altLang="en-US" sz="1000" b="0" i="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のいずれかを</a:t>
          </a:r>
          <a:r>
            <a:rPr lang="ja-JP" altLang="ja-JP" sz="1000" b="0" i="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選択してください。</a:t>
          </a:r>
          <a:endParaRPr kumimoji="1" lang="ja-JP" altLang="ja-JP" sz="10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10</xdr:col>
      <xdr:colOff>57150</xdr:colOff>
      <xdr:row>5</xdr:row>
      <xdr:rowOff>45385</xdr:rowOff>
    </xdr:from>
    <xdr:to>
      <xdr:col>46</xdr:col>
      <xdr:colOff>28575</xdr:colOff>
      <xdr:row>6</xdr:row>
      <xdr:rowOff>266701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066925" y="1931335"/>
          <a:ext cx="7267575" cy="602316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世帯主及び加入者の令和７年中の収入金額等を入力してください。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世帯主は、加入しない場合でも必ず入力してください。</a:t>
          </a:r>
          <a:endParaRPr lang="en-US" altLang="ja-JP" sz="1000" b="0" i="0" u="none" strike="noStrike" baseline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給与・年金については収入金額を、その他所得（営業、農業、不動産所得等）がある方はその他所得に所得金額を入力してください。</a:t>
          </a:r>
        </a:p>
      </xdr:txBody>
    </xdr:sp>
    <xdr:clientData/>
  </xdr:twoCellAnchor>
  <xdr:twoCellAnchor>
    <xdr:from>
      <xdr:col>10</xdr:col>
      <xdr:colOff>57150</xdr:colOff>
      <xdr:row>6</xdr:row>
      <xdr:rowOff>352427</xdr:rowOff>
    </xdr:from>
    <xdr:to>
      <xdr:col>46</xdr:col>
      <xdr:colOff>19050</xdr:colOff>
      <xdr:row>7</xdr:row>
      <xdr:rowOff>352425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066925" y="2619377"/>
          <a:ext cx="7258050" cy="628648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前年中の所得に給与所得がある方で離職日時点での年齢が６４歳以下、かつ離職理由が倒産、解雇、雇い止めなどによる方は□にチェックを入れてください。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161924</xdr:colOff>
      <xdr:row>46</xdr:row>
      <xdr:rowOff>152402</xdr:rowOff>
    </xdr:from>
    <xdr:to>
      <xdr:col>39</xdr:col>
      <xdr:colOff>179295</xdr:colOff>
      <xdr:row>58</xdr:row>
      <xdr:rowOff>56030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61924" y="12590931"/>
          <a:ext cx="8197665" cy="2861981"/>
        </a:xfrm>
        <a:prstGeom prst="roundRect">
          <a:avLst>
            <a:gd name="adj" fmla="val 4657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333333"/>
            </a:solidFill>
            <a:latin typeface="Calibri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333333"/>
            </a:solidFill>
            <a:latin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※上記結果はあくまでも試算であり、実際の保険税額と異なる場合があります。</a:t>
          </a:r>
          <a:endParaRPr lang="en-US" altLang="ja-JP" sz="1050" b="0" i="0" u="none" strike="noStrike" baseline="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※年度の途中に</a:t>
          </a:r>
          <a:r>
            <a:rPr lang="ja-JP" altLang="en-US" sz="1050" b="0" i="0" u="sng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加入者の所得</a:t>
          </a: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や</a:t>
          </a:r>
          <a:r>
            <a:rPr lang="ja-JP" altLang="en-US" sz="1050" b="0" i="0" u="sng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加入人数</a:t>
          </a: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が変わる場合は、このシートでは正しく計算できません。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※次のいずれかの項目に該当する場合は、このシートでは正しく計算できません。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（１）年度の途中に加入者が４０歳に到達し、介護保険第２号被保険者となる場合</a:t>
          </a:r>
          <a:endParaRPr lang="en-US" altLang="ja-JP" sz="1050" b="0" i="0" u="none" strike="noStrike" baseline="0">
            <a:solidFill>
              <a:srgbClr val="333333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（２）年度の途中に加入者が６５歳に到達し、介護保険第２号被保険者でなくなる（介護保険第１号被保険者となる）場合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（３）年度の途中に加入者が後期高齢者医療制度に加入し、残った国民健康保険の加入者が１人となる場合</a:t>
          </a:r>
          <a:endParaRPr lang="en-US" altLang="ja-JP" sz="1050" b="0" i="0" u="none" strike="noStrike" baseline="0">
            <a:solidFill>
              <a:srgbClr val="333333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（４）専従者給与がある場合</a:t>
          </a:r>
          <a:endParaRPr lang="en-US" altLang="ja-JP" sz="1050" b="0" i="0" u="none" strike="noStrike" baseline="0">
            <a:solidFill>
              <a:srgbClr val="333333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（５）専従者控除を必要経費に算入している場合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（６）総所得金額に分離課税所得（土地・株式等の譲渡所得等）がある場合</a:t>
          </a:r>
        </a:p>
      </xdr:txBody>
    </xdr:sp>
    <xdr:clientData/>
  </xdr:twoCellAnchor>
  <xdr:twoCellAnchor editAs="oneCell">
    <xdr:from>
      <xdr:col>0</xdr:col>
      <xdr:colOff>285750</xdr:colOff>
      <xdr:row>46</xdr:row>
      <xdr:rowOff>228600</xdr:rowOff>
    </xdr:from>
    <xdr:to>
      <xdr:col>2</xdr:col>
      <xdr:colOff>179294</xdr:colOff>
      <xdr:row>48</xdr:row>
      <xdr:rowOff>76200</xdr:rowOff>
    </xdr:to>
    <xdr:pic>
      <xdr:nvPicPr>
        <xdr:cNvPr id="6914" name="図 30" descr="error_mark.gif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0791825"/>
          <a:ext cx="3810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76200</xdr:colOff>
      <xdr:row>47</xdr:row>
      <xdr:rowOff>19050</xdr:rowOff>
    </xdr:from>
    <xdr:ext cx="1104900" cy="275717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47700" y="10677525"/>
          <a:ext cx="110490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注意事項</a:t>
          </a:r>
        </a:p>
      </xdr:txBody>
    </xdr:sp>
    <xdr:clientData/>
  </xdr:oneCellAnchor>
  <xdr:twoCellAnchor>
    <xdr:from>
      <xdr:col>0</xdr:col>
      <xdr:colOff>175931</xdr:colOff>
      <xdr:row>3</xdr:row>
      <xdr:rowOff>159684</xdr:rowOff>
    </xdr:from>
    <xdr:to>
      <xdr:col>16</xdr:col>
      <xdr:colOff>67234</xdr:colOff>
      <xdr:row>3</xdr:row>
      <xdr:rowOff>441512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5931" y="899272"/>
          <a:ext cx="3197038" cy="281828"/>
        </a:xfrm>
        <a:prstGeom prst="rect">
          <a:avLst/>
        </a:prstGeom>
        <a:solidFill>
          <a:srgbClr val="FFFFFF"/>
        </a:solidFill>
        <a:ln w="9525">
          <a:noFill/>
          <a:prstDash val="dash"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必要な項目を入力してください。</a:t>
          </a:r>
          <a:endParaRPr lang="en-US" altLang="ja-JP" sz="1050" b="0" i="0" u="none" strike="noStrike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10</xdr:col>
      <xdr:colOff>87405</xdr:colOff>
      <xdr:row>7</xdr:row>
      <xdr:rowOff>75080</xdr:rowOff>
    </xdr:from>
    <xdr:to>
      <xdr:col>33</xdr:col>
      <xdr:colOff>28574</xdr:colOff>
      <xdr:row>7</xdr:row>
      <xdr:rowOff>310404</xdr:rowOff>
    </xdr:to>
    <xdr:sp macro="" textlink="">
      <xdr:nvSpPr>
        <xdr:cNvPr id="1747" name="Text Box 7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2097180" y="2970680"/>
          <a:ext cx="4760819" cy="235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sng" strike="noStrike" baseline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離職理由の詳細については、こちらをご覧ください。（非自発的失業者）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9</xdr:row>
          <xdr:rowOff>0</xdr:rowOff>
        </xdr:from>
        <xdr:to>
          <xdr:col>15</xdr:col>
          <xdr:colOff>180975</xdr:colOff>
          <xdr:row>10</xdr:row>
          <xdr:rowOff>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11</xdr:row>
          <xdr:rowOff>0</xdr:rowOff>
        </xdr:from>
        <xdr:to>
          <xdr:col>15</xdr:col>
          <xdr:colOff>171450</xdr:colOff>
          <xdr:row>12</xdr:row>
          <xdr:rowOff>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13</xdr:row>
          <xdr:rowOff>0</xdr:rowOff>
        </xdr:from>
        <xdr:to>
          <xdr:col>15</xdr:col>
          <xdr:colOff>171450</xdr:colOff>
          <xdr:row>14</xdr:row>
          <xdr:rowOff>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15</xdr:row>
          <xdr:rowOff>0</xdr:rowOff>
        </xdr:from>
        <xdr:to>
          <xdr:col>15</xdr:col>
          <xdr:colOff>180975</xdr:colOff>
          <xdr:row>16</xdr:row>
          <xdr:rowOff>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17</xdr:row>
          <xdr:rowOff>0</xdr:rowOff>
        </xdr:from>
        <xdr:to>
          <xdr:col>15</xdr:col>
          <xdr:colOff>180975</xdr:colOff>
          <xdr:row>18</xdr:row>
          <xdr:rowOff>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171450</xdr:colOff>
          <xdr:row>19</xdr:row>
          <xdr:rowOff>0</xdr:rowOff>
        </xdr:from>
        <xdr:to>
          <xdr:col>15</xdr:col>
          <xdr:colOff>180975</xdr:colOff>
          <xdr:row>20</xdr:row>
          <xdr:rowOff>0</xdr:rowOff>
        </xdr:to>
        <xdr:sp macro="" textlink="">
          <xdr:nvSpPr>
            <xdr:cNvPr id="1091" name="Drop Dow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9</xdr:row>
          <xdr:rowOff>9525</xdr:rowOff>
        </xdr:from>
        <xdr:to>
          <xdr:col>39</xdr:col>
          <xdr:colOff>104775</xdr:colOff>
          <xdr:row>9</xdr:row>
          <xdr:rowOff>228600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13</xdr:row>
          <xdr:rowOff>19050</xdr:rowOff>
        </xdr:from>
        <xdr:to>
          <xdr:col>39</xdr:col>
          <xdr:colOff>104775</xdr:colOff>
          <xdr:row>13</xdr:row>
          <xdr:rowOff>238125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11</xdr:row>
          <xdr:rowOff>19050</xdr:rowOff>
        </xdr:from>
        <xdr:to>
          <xdr:col>39</xdr:col>
          <xdr:colOff>104775</xdr:colOff>
          <xdr:row>11</xdr:row>
          <xdr:rowOff>238125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19</xdr:row>
          <xdr:rowOff>9525</xdr:rowOff>
        </xdr:from>
        <xdr:to>
          <xdr:col>39</xdr:col>
          <xdr:colOff>104775</xdr:colOff>
          <xdr:row>19</xdr:row>
          <xdr:rowOff>228600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17</xdr:row>
          <xdr:rowOff>9525</xdr:rowOff>
        </xdr:from>
        <xdr:to>
          <xdr:col>39</xdr:col>
          <xdr:colOff>104775</xdr:colOff>
          <xdr:row>17</xdr:row>
          <xdr:rowOff>228600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152400</xdr:colOff>
          <xdr:row>15</xdr:row>
          <xdr:rowOff>19050</xdr:rowOff>
        </xdr:from>
        <xdr:to>
          <xdr:col>39</xdr:col>
          <xdr:colOff>104775</xdr:colOff>
          <xdr:row>15</xdr:row>
          <xdr:rowOff>238125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180975</xdr:colOff>
          <xdr:row>9</xdr:row>
          <xdr:rowOff>9525</xdr:rowOff>
        </xdr:from>
        <xdr:to>
          <xdr:col>7</xdr:col>
          <xdr:colOff>142875</xdr:colOff>
          <xdr:row>9</xdr:row>
          <xdr:rowOff>228600</xdr:rowOff>
        </xdr:to>
        <xdr:sp macro="" textlink="">
          <xdr:nvSpPr>
            <xdr:cNvPr id="1102" name="Drop Dow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29</xdr:col>
      <xdr:colOff>171450</xdr:colOff>
      <xdr:row>22</xdr:row>
      <xdr:rowOff>9525</xdr:rowOff>
    </xdr:from>
    <xdr:to>
      <xdr:col>31</xdr:col>
      <xdr:colOff>47625</xdr:colOff>
      <xdr:row>22</xdr:row>
      <xdr:rowOff>238125</xdr:rowOff>
    </xdr:to>
    <xdr:grpSp>
      <xdr:nvGrpSpPr>
        <xdr:cNvPr id="2" name="Group 19">
          <a:extLst>
            <a:ext uri="{FF2B5EF4-FFF2-40B4-BE49-F238E27FC236}">
              <a16:creationId xmlns:a16="http://schemas.microsoft.com/office/drawing/2014/main" id="{5E26A1F1-5C2E-4D8F-8338-FD0BAF1FC7A7}"/>
            </a:ext>
          </a:extLst>
        </xdr:cNvPr>
        <xdr:cNvGrpSpPr>
          <a:grpSpLocks/>
        </xdr:cNvGrpSpPr>
      </xdr:nvGrpSpPr>
      <xdr:grpSpPr bwMode="auto">
        <a:xfrm>
          <a:off x="6162675" y="7277100"/>
          <a:ext cx="295275" cy="228600"/>
          <a:chOff x="373" y="493"/>
          <a:chExt cx="29" cy="24"/>
        </a:xfrm>
      </xdr:grpSpPr>
      <xdr:sp macro="" textlink="">
        <xdr:nvSpPr>
          <xdr:cNvPr id="3" name="Oval 16">
            <a:extLst>
              <a:ext uri="{FF2B5EF4-FFF2-40B4-BE49-F238E27FC236}">
                <a16:creationId xmlns:a16="http://schemas.microsoft.com/office/drawing/2014/main" id="{F33B32D1-86D1-70F5-D87A-7BF70DF5FA29}"/>
              </a:ext>
            </a:extLst>
          </xdr:cNvPr>
          <xdr:cNvSpPr>
            <a:spLocks noChangeArrowheads="1"/>
          </xdr:cNvSpPr>
        </xdr:nvSpPr>
        <xdr:spPr bwMode="auto">
          <a:xfrm>
            <a:off x="374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" name="Text Box 17">
            <a:extLst>
              <a:ext uri="{FF2B5EF4-FFF2-40B4-BE49-F238E27FC236}">
                <a16:creationId xmlns:a16="http://schemas.microsoft.com/office/drawing/2014/main" id="{FF7F69F6-6AE9-69B3-7695-0B979476D1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3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４</a:t>
            </a:r>
            <a:endParaRPr lang="en-US" altLang="ja-JP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57150</xdr:colOff>
          <xdr:row>9</xdr:row>
          <xdr:rowOff>47625</xdr:rowOff>
        </xdr:from>
        <xdr:to>
          <xdr:col>44</xdr:col>
          <xdr:colOff>19050</xdr:colOff>
          <xdr:row>9</xdr:row>
          <xdr:rowOff>190500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57150</xdr:colOff>
          <xdr:row>13</xdr:row>
          <xdr:rowOff>57150</xdr:rowOff>
        </xdr:from>
        <xdr:to>
          <xdr:col>44</xdr:col>
          <xdr:colOff>19050</xdr:colOff>
          <xdr:row>13</xdr:row>
          <xdr:rowOff>200025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57150</xdr:colOff>
          <xdr:row>11</xdr:row>
          <xdr:rowOff>57150</xdr:rowOff>
        </xdr:from>
        <xdr:to>
          <xdr:col>44</xdr:col>
          <xdr:colOff>19050</xdr:colOff>
          <xdr:row>11</xdr:row>
          <xdr:rowOff>200025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57150</xdr:colOff>
          <xdr:row>15</xdr:row>
          <xdr:rowOff>57150</xdr:rowOff>
        </xdr:from>
        <xdr:to>
          <xdr:col>44</xdr:col>
          <xdr:colOff>19050</xdr:colOff>
          <xdr:row>15</xdr:row>
          <xdr:rowOff>200025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57150</xdr:colOff>
          <xdr:row>17</xdr:row>
          <xdr:rowOff>47625</xdr:rowOff>
        </xdr:from>
        <xdr:to>
          <xdr:col>44</xdr:col>
          <xdr:colOff>19050</xdr:colOff>
          <xdr:row>17</xdr:row>
          <xdr:rowOff>190500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42</xdr:col>
          <xdr:colOff>57150</xdr:colOff>
          <xdr:row>19</xdr:row>
          <xdr:rowOff>47625</xdr:rowOff>
        </xdr:from>
        <xdr:to>
          <xdr:col>44</xdr:col>
          <xdr:colOff>19050</xdr:colOff>
          <xdr:row>19</xdr:row>
          <xdr:rowOff>190500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189647</xdr:colOff>
      <xdr:row>7</xdr:row>
      <xdr:rowOff>434790</xdr:rowOff>
    </xdr:from>
    <xdr:to>
      <xdr:col>10</xdr:col>
      <xdr:colOff>17369</xdr:colOff>
      <xdr:row>8</xdr:row>
      <xdr:rowOff>0</xdr:rowOff>
    </xdr:to>
    <xdr:sp macro="" textlink="">
      <xdr:nvSpPr>
        <xdr:cNvPr id="5" name="角丸四角形 25">
          <a:extLst>
            <a:ext uri="{FF2B5EF4-FFF2-40B4-BE49-F238E27FC236}">
              <a16:creationId xmlns:a16="http://schemas.microsoft.com/office/drawing/2014/main" id="{5749AE05-4F97-4CF9-9B87-791C6F92769F}"/>
            </a:ext>
          </a:extLst>
        </xdr:cNvPr>
        <xdr:cNvSpPr/>
      </xdr:nvSpPr>
      <xdr:spPr>
        <a:xfrm>
          <a:off x="189647" y="3330390"/>
          <a:ext cx="1837497" cy="622485"/>
        </a:xfrm>
        <a:prstGeom prst="roundRect">
          <a:avLst>
            <a:gd name="adj" fmla="val 1366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１８歳以上</a:t>
          </a:r>
          <a:endParaRPr kumimoji="1" lang="en-US" altLang="ja-JP" sz="1100" b="1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（高校卒業から該当）</a:t>
          </a:r>
        </a:p>
      </xdr:txBody>
    </xdr:sp>
    <xdr:clientData/>
  </xdr:twoCellAnchor>
  <xdr:twoCellAnchor>
    <xdr:from>
      <xdr:col>10</xdr:col>
      <xdr:colOff>66675</xdr:colOff>
      <xdr:row>7</xdr:row>
      <xdr:rowOff>438149</xdr:rowOff>
    </xdr:from>
    <xdr:to>
      <xdr:col>46</xdr:col>
      <xdr:colOff>28575</xdr:colOff>
      <xdr:row>7</xdr:row>
      <xdr:rowOff>1057274</xdr:rowOff>
    </xdr:to>
    <xdr:sp macro="" textlink="">
      <xdr:nvSpPr>
        <xdr:cNvPr id="6" name="角丸四角形 28">
          <a:extLst>
            <a:ext uri="{FF2B5EF4-FFF2-40B4-BE49-F238E27FC236}">
              <a16:creationId xmlns:a16="http://schemas.microsoft.com/office/drawing/2014/main" id="{5CE63C93-C3B0-4F78-A395-32554BDA4E79}"/>
            </a:ext>
          </a:extLst>
        </xdr:cNvPr>
        <xdr:cNvSpPr/>
      </xdr:nvSpPr>
      <xdr:spPr>
        <a:xfrm>
          <a:off x="2076450" y="3333749"/>
          <a:ext cx="7258050" cy="619125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１８歳以上被保険者（１８歳に達した日以後の最初の４月１日以降である国民健康保険の被保険者）の方は□にチェックを入れてください。</a:t>
          </a:r>
          <a:br>
            <a:rPr lang="en-US" altLang="ja-JP" sz="10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lang="en-US" altLang="ja-JP" sz="10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0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　令和８年３月３１日に高校卒業した国民健康保険に加入されている方は□にチェックを入れてください。</a:t>
          </a:r>
          <a:endParaRPr lang="en-US" altLang="ja-JP" sz="1000" b="0" i="0" u="none" strike="noStrike" baseline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7466" name="AutoShape 1">
          <a:extLst>
            <a:ext uri="{FF2B5EF4-FFF2-40B4-BE49-F238E27FC236}">
              <a16:creationId xmlns:a16="http://schemas.microsoft.com/office/drawing/2014/main" id="{00000000-0008-0000-0100-00002A1D0000}"/>
            </a:ext>
          </a:extLst>
        </xdr:cNvPr>
        <xdr:cNvSpPr>
          <a:spLocks/>
        </xdr:cNvSpPr>
      </xdr:nvSpPr>
      <xdr:spPr bwMode="auto">
        <a:xfrm>
          <a:off x="0" y="8763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7469" name="AutoShape 4">
          <a:extLst>
            <a:ext uri="{FF2B5EF4-FFF2-40B4-BE49-F238E27FC236}">
              <a16:creationId xmlns:a16="http://schemas.microsoft.com/office/drawing/2014/main" id="{00000000-0008-0000-0100-00002D1D0000}"/>
            </a:ext>
          </a:extLst>
        </xdr:cNvPr>
        <xdr:cNvSpPr>
          <a:spLocks/>
        </xdr:cNvSpPr>
      </xdr:nvSpPr>
      <xdr:spPr bwMode="auto">
        <a:xfrm>
          <a:off x="0" y="8763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85725</xdr:colOff>
      <xdr:row>1</xdr:row>
      <xdr:rowOff>104775</xdr:rowOff>
    </xdr:from>
    <xdr:to>
      <xdr:col>19</xdr:col>
      <xdr:colOff>0</xdr:colOff>
      <xdr:row>3</xdr:row>
      <xdr:rowOff>19050</xdr:rowOff>
    </xdr:to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 txBox="1">
          <a:spLocks noChangeArrowheads="1"/>
        </xdr:cNvSpPr>
      </xdr:nvSpPr>
      <xdr:spPr bwMode="auto">
        <a:xfrm>
          <a:off x="174625" y="244475"/>
          <a:ext cx="10721975" cy="422275"/>
        </a:xfrm>
        <a:prstGeom prst="rect">
          <a:avLst/>
        </a:prstGeom>
        <a:ln>
          <a:headEnd/>
          <a:tailEnd/>
        </a:ln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FFFF"/>
              </a:solidFill>
              <a:latin typeface="メイリオ"/>
              <a:ea typeface="メイリオ"/>
              <a:cs typeface="メイリオ"/>
            </a:rPr>
            <a:t>令和８年度　喜多方市　国民健康保険税　計算式（詳細）</a:t>
          </a:r>
        </a:p>
      </xdr:txBody>
    </xdr:sp>
    <xdr:clientData/>
  </xdr:twoCellAnchor>
  <xdr:twoCellAnchor>
    <xdr:from>
      <xdr:col>9</xdr:col>
      <xdr:colOff>57150</xdr:colOff>
      <xdr:row>7</xdr:row>
      <xdr:rowOff>0</xdr:rowOff>
    </xdr:from>
    <xdr:to>
      <xdr:col>9</xdr:col>
      <xdr:colOff>317500</xdr:colOff>
      <xdr:row>12</xdr:row>
      <xdr:rowOff>279400</xdr:rowOff>
    </xdr:to>
    <xdr:sp macro="" textlink="">
      <xdr:nvSpPr>
        <xdr:cNvPr id="7473" name="AutoShape 138">
          <a:extLst>
            <a:ext uri="{FF2B5EF4-FFF2-40B4-BE49-F238E27FC236}">
              <a16:creationId xmlns:a16="http://schemas.microsoft.com/office/drawing/2014/main" id="{00000000-0008-0000-0100-0000311D0000}"/>
            </a:ext>
          </a:extLst>
        </xdr:cNvPr>
        <xdr:cNvSpPr>
          <a:spLocks/>
        </xdr:cNvSpPr>
      </xdr:nvSpPr>
      <xdr:spPr bwMode="auto">
        <a:xfrm>
          <a:off x="5988050" y="1803400"/>
          <a:ext cx="260350" cy="1739900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3175</xdr:colOff>
      <xdr:row>3</xdr:row>
      <xdr:rowOff>250825</xdr:rowOff>
    </xdr:from>
    <xdr:to>
      <xdr:col>2</xdr:col>
      <xdr:colOff>279400</xdr:colOff>
      <xdr:row>4</xdr:row>
      <xdr:rowOff>168275</xdr:rowOff>
    </xdr:to>
    <xdr:grpSp>
      <xdr:nvGrpSpPr>
        <xdr:cNvPr id="7474" name="Group 11">
          <a:extLst>
            <a:ext uri="{FF2B5EF4-FFF2-40B4-BE49-F238E27FC236}">
              <a16:creationId xmlns:a16="http://schemas.microsoft.com/office/drawing/2014/main" id="{00000000-0008-0000-0100-0000321D0000}"/>
            </a:ext>
          </a:extLst>
        </xdr:cNvPr>
        <xdr:cNvGrpSpPr>
          <a:grpSpLocks/>
        </xdr:cNvGrpSpPr>
      </xdr:nvGrpSpPr>
      <xdr:grpSpPr bwMode="auto">
        <a:xfrm>
          <a:off x="180975" y="898525"/>
          <a:ext cx="276225" cy="234950"/>
          <a:chOff x="135" y="487"/>
          <a:chExt cx="29" cy="24"/>
        </a:xfrm>
      </xdr:grpSpPr>
      <xdr:sp macro="" textlink="">
        <xdr:nvSpPr>
          <xdr:cNvPr id="7499" name="Oval 9">
            <a:extLst>
              <a:ext uri="{FF2B5EF4-FFF2-40B4-BE49-F238E27FC236}">
                <a16:creationId xmlns:a16="http://schemas.microsoft.com/office/drawing/2014/main" id="{00000000-0008-0000-0100-00004B1D0000}"/>
              </a:ext>
            </a:extLst>
          </xdr:cNvPr>
          <xdr:cNvSpPr>
            <a:spLocks noChangeArrowheads="1"/>
          </xdr:cNvSpPr>
        </xdr:nvSpPr>
        <xdr:spPr bwMode="auto">
          <a:xfrm>
            <a:off x="135" y="487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0" name="Text Box 10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5" y="487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</xdr:grpSp>
    <xdr:clientData/>
  </xdr:twoCellAnchor>
  <xdr:oneCellAnchor>
    <xdr:from>
      <xdr:col>2</xdr:col>
      <xdr:colOff>254000</xdr:colOff>
      <xdr:row>3</xdr:row>
      <xdr:rowOff>161925</xdr:rowOff>
    </xdr:from>
    <xdr:ext cx="723275" cy="388696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431800" y="809625"/>
          <a:ext cx="723275" cy="3886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医療分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14</xdr:col>
      <xdr:colOff>19050</xdr:colOff>
      <xdr:row>15</xdr:row>
      <xdr:rowOff>28575</xdr:rowOff>
    </xdr:from>
    <xdr:to>
      <xdr:col>14</xdr:col>
      <xdr:colOff>165100</xdr:colOff>
      <xdr:row>17</xdr:row>
      <xdr:rowOff>266700</xdr:rowOff>
    </xdr:to>
    <xdr:sp macro="" textlink="">
      <xdr:nvSpPr>
        <xdr:cNvPr id="7476" name="AutoShape 138">
          <a:extLst>
            <a:ext uri="{FF2B5EF4-FFF2-40B4-BE49-F238E27FC236}">
              <a16:creationId xmlns:a16="http://schemas.microsoft.com/office/drawing/2014/main" id="{00000000-0008-0000-0100-0000341D0000}"/>
            </a:ext>
          </a:extLst>
        </xdr:cNvPr>
        <xdr:cNvSpPr>
          <a:spLocks/>
        </xdr:cNvSpPr>
      </xdr:nvSpPr>
      <xdr:spPr bwMode="auto">
        <a:xfrm>
          <a:off x="9010650" y="3711575"/>
          <a:ext cx="146050" cy="822325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19050</xdr:colOff>
      <xdr:row>20</xdr:row>
      <xdr:rowOff>38100</xdr:rowOff>
    </xdr:from>
    <xdr:to>
      <xdr:col>14</xdr:col>
      <xdr:colOff>171450</xdr:colOff>
      <xdr:row>21</xdr:row>
      <xdr:rowOff>257175</xdr:rowOff>
    </xdr:to>
    <xdr:sp macro="" textlink="">
      <xdr:nvSpPr>
        <xdr:cNvPr id="7477" name="AutoShape 138">
          <a:extLst>
            <a:ext uri="{FF2B5EF4-FFF2-40B4-BE49-F238E27FC236}">
              <a16:creationId xmlns:a16="http://schemas.microsoft.com/office/drawing/2014/main" id="{00000000-0008-0000-0100-0000351D0000}"/>
            </a:ext>
          </a:extLst>
        </xdr:cNvPr>
        <xdr:cNvSpPr>
          <a:spLocks/>
        </xdr:cNvSpPr>
      </xdr:nvSpPr>
      <xdr:spPr bwMode="auto">
        <a:xfrm>
          <a:off x="8534400" y="4210050"/>
          <a:ext cx="152400" cy="504825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266700</xdr:colOff>
      <xdr:row>25</xdr:row>
      <xdr:rowOff>142875</xdr:rowOff>
    </xdr:from>
    <xdr:ext cx="723275" cy="388696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444500" y="6289675"/>
          <a:ext cx="723275" cy="3886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支援分</a:t>
          </a:r>
        </a:p>
      </xdr:txBody>
    </xdr:sp>
    <xdr:clientData/>
  </xdr:oneCellAnchor>
  <xdr:twoCellAnchor>
    <xdr:from>
      <xdr:col>2</xdr:col>
      <xdr:colOff>19050</xdr:colOff>
      <xdr:row>25</xdr:row>
      <xdr:rowOff>238125</xdr:rowOff>
    </xdr:from>
    <xdr:to>
      <xdr:col>2</xdr:col>
      <xdr:colOff>295275</xdr:colOff>
      <xdr:row>26</xdr:row>
      <xdr:rowOff>152400</xdr:rowOff>
    </xdr:to>
    <xdr:grpSp>
      <xdr:nvGrpSpPr>
        <xdr:cNvPr id="7479" name="Group 18">
          <a:extLst>
            <a:ext uri="{FF2B5EF4-FFF2-40B4-BE49-F238E27FC236}">
              <a16:creationId xmlns:a16="http://schemas.microsoft.com/office/drawing/2014/main" id="{00000000-0008-0000-0100-0000371D0000}"/>
            </a:ext>
          </a:extLst>
        </xdr:cNvPr>
        <xdr:cNvGrpSpPr>
          <a:grpSpLocks/>
        </xdr:cNvGrpSpPr>
      </xdr:nvGrpSpPr>
      <xdr:grpSpPr bwMode="auto">
        <a:xfrm>
          <a:off x="196850" y="5978525"/>
          <a:ext cx="276225" cy="231775"/>
          <a:chOff x="248" y="493"/>
          <a:chExt cx="29" cy="24"/>
        </a:xfrm>
      </xdr:grpSpPr>
      <xdr:sp macro="" textlink="">
        <xdr:nvSpPr>
          <xdr:cNvPr id="7497" name="Oval 13">
            <a:extLst>
              <a:ext uri="{FF2B5EF4-FFF2-40B4-BE49-F238E27FC236}">
                <a16:creationId xmlns:a16="http://schemas.microsoft.com/office/drawing/2014/main" id="{00000000-0008-0000-0100-0000491D0000}"/>
              </a:ext>
            </a:extLst>
          </xdr:cNvPr>
          <xdr:cNvSpPr>
            <a:spLocks noChangeArrowheads="1"/>
          </xdr:cNvSpPr>
        </xdr:nvSpPr>
        <xdr:spPr bwMode="auto"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" name="Text Box 14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</xdr:grpSp>
    <xdr:clientData/>
  </xdr:twoCellAnchor>
  <xdr:twoCellAnchor>
    <xdr:from>
      <xdr:col>9</xdr:col>
      <xdr:colOff>101600</xdr:colOff>
      <xdr:row>29</xdr:row>
      <xdr:rowOff>25400</xdr:rowOff>
    </xdr:from>
    <xdr:to>
      <xdr:col>9</xdr:col>
      <xdr:colOff>266700</xdr:colOff>
      <xdr:row>35</xdr:row>
      <xdr:rowOff>0</xdr:rowOff>
    </xdr:to>
    <xdr:sp macro="" textlink="">
      <xdr:nvSpPr>
        <xdr:cNvPr id="7480" name="AutoShape 138">
          <a:extLst>
            <a:ext uri="{FF2B5EF4-FFF2-40B4-BE49-F238E27FC236}">
              <a16:creationId xmlns:a16="http://schemas.microsoft.com/office/drawing/2014/main" id="{00000000-0008-0000-0100-0000381D0000}"/>
            </a:ext>
          </a:extLst>
        </xdr:cNvPr>
        <xdr:cNvSpPr>
          <a:spLocks/>
        </xdr:cNvSpPr>
      </xdr:nvSpPr>
      <xdr:spPr bwMode="auto">
        <a:xfrm>
          <a:off x="6032500" y="7353300"/>
          <a:ext cx="165100" cy="1727200"/>
        </a:xfrm>
        <a:prstGeom prst="rightBrace">
          <a:avLst>
            <a:gd name="adj1" fmla="val 46213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28575</xdr:colOff>
      <xdr:row>37</xdr:row>
      <xdr:rowOff>38100</xdr:rowOff>
    </xdr:from>
    <xdr:to>
      <xdr:col>14</xdr:col>
      <xdr:colOff>177800</xdr:colOff>
      <xdr:row>39</xdr:row>
      <xdr:rowOff>254000</xdr:rowOff>
    </xdr:to>
    <xdr:sp macro="" textlink="">
      <xdr:nvSpPr>
        <xdr:cNvPr id="7481" name="AutoShape 138">
          <a:extLst>
            <a:ext uri="{FF2B5EF4-FFF2-40B4-BE49-F238E27FC236}">
              <a16:creationId xmlns:a16="http://schemas.microsoft.com/office/drawing/2014/main" id="{00000000-0008-0000-0100-0000391D0000}"/>
            </a:ext>
          </a:extLst>
        </xdr:cNvPr>
        <xdr:cNvSpPr>
          <a:spLocks/>
        </xdr:cNvSpPr>
      </xdr:nvSpPr>
      <xdr:spPr bwMode="auto">
        <a:xfrm>
          <a:off x="9020175" y="9537700"/>
          <a:ext cx="149225" cy="800100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19050</xdr:colOff>
      <xdr:row>42</xdr:row>
      <xdr:rowOff>38100</xdr:rowOff>
    </xdr:from>
    <xdr:to>
      <xdr:col>14</xdr:col>
      <xdr:colOff>171450</xdr:colOff>
      <xdr:row>43</xdr:row>
      <xdr:rowOff>257175</xdr:rowOff>
    </xdr:to>
    <xdr:sp macro="" textlink="">
      <xdr:nvSpPr>
        <xdr:cNvPr id="7482" name="AutoShape 138">
          <a:extLst>
            <a:ext uri="{FF2B5EF4-FFF2-40B4-BE49-F238E27FC236}">
              <a16:creationId xmlns:a16="http://schemas.microsoft.com/office/drawing/2014/main" id="{00000000-0008-0000-0100-00003A1D0000}"/>
            </a:ext>
          </a:extLst>
        </xdr:cNvPr>
        <xdr:cNvSpPr>
          <a:spLocks/>
        </xdr:cNvSpPr>
      </xdr:nvSpPr>
      <xdr:spPr bwMode="auto">
        <a:xfrm>
          <a:off x="8534400" y="8848725"/>
          <a:ext cx="152400" cy="504825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295275</xdr:colOff>
      <xdr:row>47</xdr:row>
      <xdr:rowOff>117475</xdr:rowOff>
    </xdr:from>
    <xdr:ext cx="723275" cy="388696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473075" y="11560175"/>
          <a:ext cx="723275" cy="3886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介護分</a:t>
          </a:r>
        </a:p>
      </xdr:txBody>
    </xdr:sp>
    <xdr:clientData/>
  </xdr:oneCellAnchor>
  <xdr:twoCellAnchor>
    <xdr:from>
      <xdr:col>2</xdr:col>
      <xdr:colOff>9525</xdr:colOff>
      <xdr:row>47</xdr:row>
      <xdr:rowOff>225425</xdr:rowOff>
    </xdr:from>
    <xdr:to>
      <xdr:col>2</xdr:col>
      <xdr:colOff>285750</xdr:colOff>
      <xdr:row>48</xdr:row>
      <xdr:rowOff>120650</xdr:rowOff>
    </xdr:to>
    <xdr:grpSp>
      <xdr:nvGrpSpPr>
        <xdr:cNvPr id="7484" name="Group 18">
          <a:extLst>
            <a:ext uri="{FF2B5EF4-FFF2-40B4-BE49-F238E27FC236}">
              <a16:creationId xmlns:a16="http://schemas.microsoft.com/office/drawing/2014/main" id="{00000000-0008-0000-0100-00003C1D0000}"/>
            </a:ext>
          </a:extLst>
        </xdr:cNvPr>
        <xdr:cNvGrpSpPr>
          <a:grpSpLocks/>
        </xdr:cNvGrpSpPr>
      </xdr:nvGrpSpPr>
      <xdr:grpSpPr bwMode="auto">
        <a:xfrm>
          <a:off x="187325" y="11071225"/>
          <a:ext cx="276225" cy="212725"/>
          <a:chOff x="248" y="493"/>
          <a:chExt cx="29" cy="24"/>
        </a:xfrm>
      </xdr:grpSpPr>
      <xdr:sp macro="" textlink="">
        <xdr:nvSpPr>
          <xdr:cNvPr id="7495" name="Oval 13">
            <a:extLst>
              <a:ext uri="{FF2B5EF4-FFF2-40B4-BE49-F238E27FC236}">
                <a16:creationId xmlns:a16="http://schemas.microsoft.com/office/drawing/2014/main" id="{00000000-0008-0000-0100-0000471D0000}"/>
              </a:ext>
            </a:extLst>
          </xdr:cNvPr>
          <xdr:cNvSpPr>
            <a:spLocks noChangeArrowheads="1"/>
          </xdr:cNvSpPr>
        </xdr:nvSpPr>
        <xdr:spPr bwMode="auto"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6" name="Text Box 14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</xdr:grpSp>
    <xdr:clientData/>
  </xdr:twoCellAnchor>
  <xdr:twoCellAnchor>
    <xdr:from>
      <xdr:col>9</xdr:col>
      <xdr:colOff>63500</xdr:colOff>
      <xdr:row>51</xdr:row>
      <xdr:rowOff>0</xdr:rowOff>
    </xdr:from>
    <xdr:to>
      <xdr:col>9</xdr:col>
      <xdr:colOff>254000</xdr:colOff>
      <xdr:row>56</xdr:row>
      <xdr:rowOff>254000</xdr:rowOff>
    </xdr:to>
    <xdr:sp macro="" textlink="">
      <xdr:nvSpPr>
        <xdr:cNvPr id="7485" name="AutoShape 138">
          <a:extLst>
            <a:ext uri="{FF2B5EF4-FFF2-40B4-BE49-F238E27FC236}">
              <a16:creationId xmlns:a16="http://schemas.microsoft.com/office/drawing/2014/main" id="{00000000-0008-0000-0100-00003D1D0000}"/>
            </a:ext>
          </a:extLst>
        </xdr:cNvPr>
        <xdr:cNvSpPr>
          <a:spLocks/>
        </xdr:cNvSpPr>
      </xdr:nvSpPr>
      <xdr:spPr bwMode="auto">
        <a:xfrm>
          <a:off x="5994400" y="12852400"/>
          <a:ext cx="190500" cy="1714500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19050</xdr:colOff>
      <xdr:row>59</xdr:row>
      <xdr:rowOff>38100</xdr:rowOff>
    </xdr:from>
    <xdr:to>
      <xdr:col>14</xdr:col>
      <xdr:colOff>171450</xdr:colOff>
      <xdr:row>60</xdr:row>
      <xdr:rowOff>257175</xdr:rowOff>
    </xdr:to>
    <xdr:sp macro="" textlink="">
      <xdr:nvSpPr>
        <xdr:cNvPr id="7486" name="AutoShape 138">
          <a:extLst>
            <a:ext uri="{FF2B5EF4-FFF2-40B4-BE49-F238E27FC236}">
              <a16:creationId xmlns:a16="http://schemas.microsoft.com/office/drawing/2014/main" id="{00000000-0008-0000-0100-00003E1D0000}"/>
            </a:ext>
          </a:extLst>
        </xdr:cNvPr>
        <xdr:cNvSpPr>
          <a:spLocks/>
        </xdr:cNvSpPr>
      </xdr:nvSpPr>
      <xdr:spPr bwMode="auto">
        <a:xfrm>
          <a:off x="8534400" y="13144500"/>
          <a:ext cx="152400" cy="504825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9525</xdr:colOff>
      <xdr:row>63</xdr:row>
      <xdr:rowOff>47625</xdr:rowOff>
    </xdr:from>
    <xdr:to>
      <xdr:col>14</xdr:col>
      <xdr:colOff>161925</xdr:colOff>
      <xdr:row>64</xdr:row>
      <xdr:rowOff>266700</xdr:rowOff>
    </xdr:to>
    <xdr:sp macro="" textlink="">
      <xdr:nvSpPr>
        <xdr:cNvPr id="7487" name="AutoShape 138">
          <a:extLst>
            <a:ext uri="{FF2B5EF4-FFF2-40B4-BE49-F238E27FC236}">
              <a16:creationId xmlns:a16="http://schemas.microsoft.com/office/drawing/2014/main" id="{00000000-0008-0000-0100-00003F1D0000}"/>
            </a:ext>
          </a:extLst>
        </xdr:cNvPr>
        <xdr:cNvSpPr>
          <a:spLocks/>
        </xdr:cNvSpPr>
      </xdr:nvSpPr>
      <xdr:spPr bwMode="auto">
        <a:xfrm>
          <a:off x="8524875" y="13725525"/>
          <a:ext cx="152400" cy="504825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28574</xdr:colOff>
      <xdr:row>47</xdr:row>
      <xdr:rowOff>184150</xdr:rowOff>
    </xdr:from>
    <xdr:to>
      <xdr:col>6</xdr:col>
      <xdr:colOff>965199</xdr:colOff>
      <xdr:row>48</xdr:row>
      <xdr:rowOff>120650</xdr:rowOff>
    </xdr:to>
    <xdr:sp macro="" textlink="">
      <xdr:nvSpPr>
        <xdr:cNvPr id="5764" name="テキスト ボックス 52">
          <a:extLst>
            <a:ext uri="{FF2B5EF4-FFF2-40B4-BE49-F238E27FC236}">
              <a16:creationId xmlns:a16="http://schemas.microsoft.com/office/drawing/2014/main" id="{00000000-0008-0000-0100-000084160000}"/>
            </a:ext>
          </a:extLst>
        </xdr:cNvPr>
        <xdr:cNvSpPr txBox="1">
          <a:spLocks noChangeArrowheads="1"/>
        </xdr:cNvSpPr>
      </xdr:nvSpPr>
      <xdr:spPr bwMode="auto">
        <a:xfrm>
          <a:off x="1057274" y="11626850"/>
          <a:ext cx="3273425" cy="25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lang="en-US" altLang="ja-JP" sz="12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40</a:t>
          </a:r>
          <a:r>
            <a:rPr lang="ja-JP" altLang="en-US" sz="12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歳から</a:t>
          </a:r>
          <a:r>
            <a:rPr lang="en-US" altLang="ja-JP" sz="12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64</a:t>
          </a:r>
          <a:r>
            <a:rPr lang="ja-JP" altLang="en-US" sz="12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歳までの被保険者が対象）</a:t>
          </a:r>
          <a:endParaRPr lang="en-US" altLang="ja-JP" sz="1200" b="0" i="0" strike="noStrike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38100</xdr:colOff>
      <xdr:row>9</xdr:row>
      <xdr:rowOff>180975</xdr:rowOff>
    </xdr:from>
    <xdr:to>
      <xdr:col>11</xdr:col>
      <xdr:colOff>238125</xdr:colOff>
      <xdr:row>10</xdr:row>
      <xdr:rowOff>114300</xdr:rowOff>
    </xdr:to>
    <xdr:sp macro="" textlink="">
      <xdr:nvSpPr>
        <xdr:cNvPr id="2950" name="Rectangle 902">
          <a:extLst>
            <a:ext uri="{FF2B5EF4-FFF2-40B4-BE49-F238E27FC236}">
              <a16:creationId xmlns:a16="http://schemas.microsoft.com/office/drawing/2014/main" id="{00000000-0008-0000-0100-0000860B0000}"/>
            </a:ext>
          </a:extLst>
        </xdr:cNvPr>
        <xdr:cNvSpPr>
          <a:spLocks noChangeArrowheads="1"/>
        </xdr:cNvSpPr>
      </xdr:nvSpPr>
      <xdr:spPr bwMode="auto">
        <a:xfrm>
          <a:off x="7219950" y="2447925"/>
          <a:ext cx="2000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</a:p>
      </xdr:txBody>
    </xdr:sp>
    <xdr:clientData/>
  </xdr:twoCellAnchor>
  <xdr:twoCellAnchor>
    <xdr:from>
      <xdr:col>13</xdr:col>
      <xdr:colOff>152400</xdr:colOff>
      <xdr:row>6</xdr:row>
      <xdr:rowOff>282574</xdr:rowOff>
    </xdr:from>
    <xdr:to>
      <xdr:col>15</xdr:col>
      <xdr:colOff>12700</xdr:colOff>
      <xdr:row>13</xdr:row>
      <xdr:rowOff>0</xdr:rowOff>
    </xdr:to>
    <xdr:sp macro="" textlink="">
      <xdr:nvSpPr>
        <xdr:cNvPr id="7490" name="AutoShape 138">
          <a:extLst>
            <a:ext uri="{FF2B5EF4-FFF2-40B4-BE49-F238E27FC236}">
              <a16:creationId xmlns:a16="http://schemas.microsoft.com/office/drawing/2014/main" id="{00000000-0008-0000-0100-0000421D0000}"/>
            </a:ext>
          </a:extLst>
        </xdr:cNvPr>
        <xdr:cNvSpPr>
          <a:spLocks/>
        </xdr:cNvSpPr>
      </xdr:nvSpPr>
      <xdr:spPr bwMode="auto">
        <a:xfrm>
          <a:off x="8940800" y="1793874"/>
          <a:ext cx="266700" cy="1762126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29</xdr:row>
      <xdr:rowOff>0</xdr:rowOff>
    </xdr:from>
    <xdr:to>
      <xdr:col>15</xdr:col>
      <xdr:colOff>25400</xdr:colOff>
      <xdr:row>34</xdr:row>
      <xdr:rowOff>266700</xdr:rowOff>
    </xdr:to>
    <xdr:sp macro="" textlink="">
      <xdr:nvSpPr>
        <xdr:cNvPr id="7491" name="AutoShape 138">
          <a:extLst>
            <a:ext uri="{FF2B5EF4-FFF2-40B4-BE49-F238E27FC236}">
              <a16:creationId xmlns:a16="http://schemas.microsoft.com/office/drawing/2014/main" id="{00000000-0008-0000-0100-0000431D0000}"/>
            </a:ext>
          </a:extLst>
        </xdr:cNvPr>
        <xdr:cNvSpPr>
          <a:spLocks/>
        </xdr:cNvSpPr>
      </xdr:nvSpPr>
      <xdr:spPr bwMode="auto">
        <a:xfrm>
          <a:off x="8991600" y="7327900"/>
          <a:ext cx="228600" cy="1727200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31</xdr:row>
      <xdr:rowOff>190500</xdr:rowOff>
    </xdr:from>
    <xdr:to>
      <xdr:col>11</xdr:col>
      <xdr:colOff>238125</xdr:colOff>
      <xdr:row>32</xdr:row>
      <xdr:rowOff>123825</xdr:rowOff>
    </xdr:to>
    <xdr:sp macro="" textlink="">
      <xdr:nvSpPr>
        <xdr:cNvPr id="2955" name="Rectangle 907">
          <a:extLst>
            <a:ext uri="{FF2B5EF4-FFF2-40B4-BE49-F238E27FC236}">
              <a16:creationId xmlns:a16="http://schemas.microsoft.com/office/drawing/2014/main" id="{00000000-0008-0000-0100-00008B0B0000}"/>
            </a:ext>
          </a:extLst>
        </xdr:cNvPr>
        <xdr:cNvSpPr>
          <a:spLocks noChangeArrowheads="1"/>
        </xdr:cNvSpPr>
      </xdr:nvSpPr>
      <xdr:spPr bwMode="auto">
        <a:xfrm>
          <a:off x="7219950" y="7058025"/>
          <a:ext cx="2000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</a:p>
      </xdr:txBody>
    </xdr:sp>
    <xdr:clientData/>
  </xdr:twoCellAnchor>
  <xdr:twoCellAnchor>
    <xdr:from>
      <xdr:col>13</xdr:col>
      <xdr:colOff>161925</xdr:colOff>
      <xdr:row>51</xdr:row>
      <xdr:rowOff>12700</xdr:rowOff>
    </xdr:from>
    <xdr:to>
      <xdr:col>15</xdr:col>
      <xdr:colOff>12700</xdr:colOff>
      <xdr:row>57</xdr:row>
      <xdr:rowOff>1</xdr:rowOff>
    </xdr:to>
    <xdr:sp macro="" textlink="">
      <xdr:nvSpPr>
        <xdr:cNvPr id="7493" name="AutoShape 138">
          <a:extLst>
            <a:ext uri="{FF2B5EF4-FFF2-40B4-BE49-F238E27FC236}">
              <a16:creationId xmlns:a16="http://schemas.microsoft.com/office/drawing/2014/main" id="{00000000-0008-0000-0100-0000451D0000}"/>
            </a:ext>
          </a:extLst>
        </xdr:cNvPr>
        <xdr:cNvSpPr>
          <a:spLocks/>
        </xdr:cNvSpPr>
      </xdr:nvSpPr>
      <xdr:spPr bwMode="auto">
        <a:xfrm>
          <a:off x="8950325" y="12865100"/>
          <a:ext cx="257175" cy="1739901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47625</xdr:colOff>
      <xdr:row>53</xdr:row>
      <xdr:rowOff>190500</xdr:rowOff>
    </xdr:from>
    <xdr:to>
      <xdr:col>11</xdr:col>
      <xdr:colOff>247650</xdr:colOff>
      <xdr:row>54</xdr:row>
      <xdr:rowOff>123825</xdr:rowOff>
    </xdr:to>
    <xdr:sp macro="" textlink="">
      <xdr:nvSpPr>
        <xdr:cNvPr id="2958" name="Rectangle 910">
          <a:extLst>
            <a:ext uri="{FF2B5EF4-FFF2-40B4-BE49-F238E27FC236}">
              <a16:creationId xmlns:a16="http://schemas.microsoft.com/office/drawing/2014/main" id="{00000000-0008-0000-0100-00008E0B0000}"/>
            </a:ext>
          </a:extLst>
        </xdr:cNvPr>
        <xdr:cNvSpPr>
          <a:spLocks noChangeArrowheads="1"/>
        </xdr:cNvSpPr>
      </xdr:nvSpPr>
      <xdr:spPr bwMode="auto">
        <a:xfrm>
          <a:off x="7229475" y="11658600"/>
          <a:ext cx="2000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</a:p>
      </xdr:txBody>
    </xdr:sp>
    <xdr:clientData/>
  </xdr:twoCellAnchor>
  <xdr:oneCellAnchor>
    <xdr:from>
      <xdr:col>2</xdr:col>
      <xdr:colOff>266700</xdr:colOff>
      <xdr:row>67</xdr:row>
      <xdr:rowOff>142875</xdr:rowOff>
    </xdr:from>
    <xdr:ext cx="1775614" cy="388696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713CF71-02F3-4C30-A887-6F0EC06F9C3C}"/>
            </a:ext>
          </a:extLst>
        </xdr:cNvPr>
        <xdr:cNvSpPr txBox="1"/>
      </xdr:nvSpPr>
      <xdr:spPr>
        <a:xfrm>
          <a:off x="444500" y="15814675"/>
          <a:ext cx="1775614" cy="3886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子ども・子育て支援分</a:t>
          </a:r>
        </a:p>
      </xdr:txBody>
    </xdr:sp>
    <xdr:clientData/>
  </xdr:oneCellAnchor>
  <xdr:twoCellAnchor>
    <xdr:from>
      <xdr:col>2</xdr:col>
      <xdr:colOff>19050</xdr:colOff>
      <xdr:row>67</xdr:row>
      <xdr:rowOff>238125</xdr:rowOff>
    </xdr:from>
    <xdr:to>
      <xdr:col>2</xdr:col>
      <xdr:colOff>295275</xdr:colOff>
      <xdr:row>68</xdr:row>
      <xdr:rowOff>152400</xdr:rowOff>
    </xdr:to>
    <xdr:grpSp>
      <xdr:nvGrpSpPr>
        <xdr:cNvPr id="27" name="Group 18">
          <a:extLst>
            <a:ext uri="{FF2B5EF4-FFF2-40B4-BE49-F238E27FC236}">
              <a16:creationId xmlns:a16="http://schemas.microsoft.com/office/drawing/2014/main" id="{6814DD13-4194-4CD2-9E2D-EF9A1B3F50A4}"/>
            </a:ext>
          </a:extLst>
        </xdr:cNvPr>
        <xdr:cNvGrpSpPr>
          <a:grpSpLocks/>
        </xdr:cNvGrpSpPr>
      </xdr:nvGrpSpPr>
      <xdr:grpSpPr bwMode="auto">
        <a:xfrm>
          <a:off x="196850" y="15897225"/>
          <a:ext cx="276225" cy="231775"/>
          <a:chOff x="248" y="493"/>
          <a:chExt cx="29" cy="24"/>
        </a:xfrm>
      </xdr:grpSpPr>
      <xdr:sp macro="" textlink="">
        <xdr:nvSpPr>
          <xdr:cNvPr id="28" name="Oval 13">
            <a:extLst>
              <a:ext uri="{FF2B5EF4-FFF2-40B4-BE49-F238E27FC236}">
                <a16:creationId xmlns:a16="http://schemas.microsoft.com/office/drawing/2014/main" id="{9B6C107B-FF56-AEBC-9D85-F258CC21FF34}"/>
              </a:ext>
            </a:extLst>
          </xdr:cNvPr>
          <xdr:cNvSpPr>
            <a:spLocks noChangeArrowheads="1"/>
          </xdr:cNvSpPr>
        </xdr:nvSpPr>
        <xdr:spPr bwMode="auto"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Text Box 14">
            <a:extLst>
              <a:ext uri="{FF2B5EF4-FFF2-40B4-BE49-F238E27FC236}">
                <a16:creationId xmlns:a16="http://schemas.microsoft.com/office/drawing/2014/main" id="{A906F702-DBF0-6F8C-C28E-7E4331DFA7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４</a:t>
            </a:r>
            <a:endParaRPr lang="en-US" altLang="ja-JP" sz="11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endParaRPr>
          </a:p>
        </xdr:txBody>
      </xdr:sp>
    </xdr:grpSp>
    <xdr:clientData/>
  </xdr:twoCellAnchor>
  <xdr:twoCellAnchor>
    <xdr:from>
      <xdr:col>9</xdr:col>
      <xdr:colOff>101600</xdr:colOff>
      <xdr:row>71</xdr:row>
      <xdr:rowOff>25400</xdr:rowOff>
    </xdr:from>
    <xdr:to>
      <xdr:col>9</xdr:col>
      <xdr:colOff>266700</xdr:colOff>
      <xdr:row>77</xdr:row>
      <xdr:rowOff>0</xdr:rowOff>
    </xdr:to>
    <xdr:sp macro="" textlink="">
      <xdr:nvSpPr>
        <xdr:cNvPr id="32" name="AutoShape 138">
          <a:extLst>
            <a:ext uri="{FF2B5EF4-FFF2-40B4-BE49-F238E27FC236}">
              <a16:creationId xmlns:a16="http://schemas.microsoft.com/office/drawing/2014/main" id="{63A664C2-D6E8-488F-A3F2-1E6E77E4AC97}"/>
            </a:ext>
          </a:extLst>
        </xdr:cNvPr>
        <xdr:cNvSpPr>
          <a:spLocks/>
        </xdr:cNvSpPr>
      </xdr:nvSpPr>
      <xdr:spPr bwMode="auto">
        <a:xfrm>
          <a:off x="6032500" y="6934200"/>
          <a:ext cx="165100" cy="1727200"/>
        </a:xfrm>
        <a:prstGeom prst="rightBrace">
          <a:avLst>
            <a:gd name="adj1" fmla="val 46213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28575</xdr:colOff>
      <xdr:row>79</xdr:row>
      <xdr:rowOff>38100</xdr:rowOff>
    </xdr:from>
    <xdr:to>
      <xdr:col>14</xdr:col>
      <xdr:colOff>177800</xdr:colOff>
      <xdr:row>81</xdr:row>
      <xdr:rowOff>254000</xdr:rowOff>
    </xdr:to>
    <xdr:sp macro="" textlink="">
      <xdr:nvSpPr>
        <xdr:cNvPr id="33" name="AutoShape 138">
          <a:extLst>
            <a:ext uri="{FF2B5EF4-FFF2-40B4-BE49-F238E27FC236}">
              <a16:creationId xmlns:a16="http://schemas.microsoft.com/office/drawing/2014/main" id="{CF536D6A-E132-4953-A1AF-B14CFCF73CF8}"/>
            </a:ext>
          </a:extLst>
        </xdr:cNvPr>
        <xdr:cNvSpPr>
          <a:spLocks/>
        </xdr:cNvSpPr>
      </xdr:nvSpPr>
      <xdr:spPr bwMode="auto">
        <a:xfrm>
          <a:off x="9020175" y="8826500"/>
          <a:ext cx="149225" cy="800100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19050</xdr:colOff>
      <xdr:row>89</xdr:row>
      <xdr:rowOff>38100</xdr:rowOff>
    </xdr:from>
    <xdr:to>
      <xdr:col>14</xdr:col>
      <xdr:colOff>171450</xdr:colOff>
      <xdr:row>90</xdr:row>
      <xdr:rowOff>257175</xdr:rowOff>
    </xdr:to>
    <xdr:sp macro="" textlink="">
      <xdr:nvSpPr>
        <xdr:cNvPr id="35" name="AutoShape 138">
          <a:extLst>
            <a:ext uri="{FF2B5EF4-FFF2-40B4-BE49-F238E27FC236}">
              <a16:creationId xmlns:a16="http://schemas.microsoft.com/office/drawing/2014/main" id="{A0E410AC-F3EA-4938-80E7-99E18F4B72DF}"/>
            </a:ext>
          </a:extLst>
        </xdr:cNvPr>
        <xdr:cNvSpPr>
          <a:spLocks/>
        </xdr:cNvSpPr>
      </xdr:nvSpPr>
      <xdr:spPr bwMode="auto">
        <a:xfrm>
          <a:off x="9010650" y="9829800"/>
          <a:ext cx="152400" cy="511175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0</xdr:colOff>
      <xdr:row>71</xdr:row>
      <xdr:rowOff>0</xdr:rowOff>
    </xdr:from>
    <xdr:to>
      <xdr:col>15</xdr:col>
      <xdr:colOff>25400</xdr:colOff>
      <xdr:row>76</xdr:row>
      <xdr:rowOff>266700</xdr:rowOff>
    </xdr:to>
    <xdr:sp macro="" textlink="">
      <xdr:nvSpPr>
        <xdr:cNvPr id="36" name="AutoShape 138">
          <a:extLst>
            <a:ext uri="{FF2B5EF4-FFF2-40B4-BE49-F238E27FC236}">
              <a16:creationId xmlns:a16="http://schemas.microsoft.com/office/drawing/2014/main" id="{830A0AC0-FCBA-4C8E-AD8D-39A81D5FA5A1}"/>
            </a:ext>
          </a:extLst>
        </xdr:cNvPr>
        <xdr:cNvSpPr>
          <a:spLocks/>
        </xdr:cNvSpPr>
      </xdr:nvSpPr>
      <xdr:spPr bwMode="auto">
        <a:xfrm>
          <a:off x="8991600" y="6908800"/>
          <a:ext cx="228600" cy="1727200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73</xdr:row>
      <xdr:rowOff>190500</xdr:rowOff>
    </xdr:from>
    <xdr:to>
      <xdr:col>11</xdr:col>
      <xdr:colOff>238125</xdr:colOff>
      <xdr:row>74</xdr:row>
      <xdr:rowOff>123825</xdr:rowOff>
    </xdr:to>
    <xdr:sp macro="" textlink="">
      <xdr:nvSpPr>
        <xdr:cNvPr id="37" name="Rectangle 907">
          <a:extLst>
            <a:ext uri="{FF2B5EF4-FFF2-40B4-BE49-F238E27FC236}">
              <a16:creationId xmlns:a16="http://schemas.microsoft.com/office/drawing/2014/main" id="{BF423360-3632-41B0-8A4D-934F80B7BADB}"/>
            </a:ext>
          </a:extLst>
        </xdr:cNvPr>
        <xdr:cNvSpPr>
          <a:spLocks noChangeArrowheads="1"/>
        </xdr:cNvSpPr>
      </xdr:nvSpPr>
      <xdr:spPr bwMode="auto">
        <a:xfrm>
          <a:off x="7594600" y="7683500"/>
          <a:ext cx="200025" cy="22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</a:p>
      </xdr:txBody>
    </xdr:sp>
    <xdr:clientData/>
  </xdr:twoCellAnchor>
  <xdr:twoCellAnchor>
    <xdr:from>
      <xdr:col>14</xdr:col>
      <xdr:colOff>28575</xdr:colOff>
      <xdr:row>84</xdr:row>
      <xdr:rowOff>38100</xdr:rowOff>
    </xdr:from>
    <xdr:to>
      <xdr:col>14</xdr:col>
      <xdr:colOff>177800</xdr:colOff>
      <xdr:row>86</xdr:row>
      <xdr:rowOff>254000</xdr:rowOff>
    </xdr:to>
    <xdr:sp macro="" textlink="">
      <xdr:nvSpPr>
        <xdr:cNvPr id="38" name="AutoShape 138">
          <a:extLst>
            <a:ext uri="{FF2B5EF4-FFF2-40B4-BE49-F238E27FC236}">
              <a16:creationId xmlns:a16="http://schemas.microsoft.com/office/drawing/2014/main" id="{4305B0E9-700C-4457-B04A-64459C44E836}"/>
            </a:ext>
          </a:extLst>
        </xdr:cNvPr>
        <xdr:cNvSpPr>
          <a:spLocks/>
        </xdr:cNvSpPr>
      </xdr:nvSpPr>
      <xdr:spPr bwMode="auto">
        <a:xfrm>
          <a:off x="9020175" y="18745200"/>
          <a:ext cx="149225" cy="800100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66FF"/>
    <pageSetUpPr fitToPage="1"/>
  </sheetPr>
  <dimension ref="A2:AT46"/>
  <sheetViews>
    <sheetView showGridLines="0" tabSelected="1" view="pageBreakPreview" zoomScaleNormal="100" zoomScaleSheetLayoutView="100" workbookViewId="0">
      <selection activeCell="R12" sqref="R12:V12"/>
    </sheetView>
  </sheetViews>
  <sheetFormatPr defaultColWidth="2.625" defaultRowHeight="20.100000000000001" customHeight="1"/>
  <cols>
    <col min="1" max="1" width="2.5" style="1" customWidth="1"/>
    <col min="2" max="8" width="2.625" style="1" customWidth="1"/>
    <col min="9" max="37" width="2.75" style="1" customWidth="1"/>
    <col min="38" max="38" width="2.25" style="1" customWidth="1"/>
    <col min="39" max="45" width="2.375" style="1" customWidth="1"/>
    <col min="46" max="46" width="2.625" style="1" customWidth="1"/>
    <col min="47" max="47" width="2.375" style="1" customWidth="1"/>
    <col min="48" max="48" width="2.625" style="1"/>
    <col min="49" max="49" width="2.875" style="1" bestFit="1" customWidth="1"/>
    <col min="50" max="16384" width="2.625" style="1"/>
  </cols>
  <sheetData>
    <row r="2" spans="1:46" ht="20.100000000000001" customHeight="1">
      <c r="AP2" s="2"/>
    </row>
    <row r="3" spans="1:46" ht="20.100000000000001" customHeight="1">
      <c r="AP3" s="2"/>
    </row>
    <row r="4" spans="1:46" ht="60" customHeight="1"/>
    <row r="5" spans="1:46" ht="30" customHeight="1">
      <c r="AP5" s="2"/>
    </row>
    <row r="6" spans="1:46" ht="30" customHeight="1"/>
    <row r="7" spans="1:46" ht="50.1" customHeight="1"/>
    <row r="8" spans="1:46" ht="83.25" customHeight="1"/>
    <row r="9" spans="1:46" ht="27" customHeight="1" thickBot="1">
      <c r="I9" s="476" t="s">
        <v>98</v>
      </c>
      <c r="J9" s="476"/>
      <c r="K9" s="476"/>
      <c r="L9" s="476"/>
      <c r="M9" s="476"/>
      <c r="N9" s="476"/>
      <c r="O9" s="476"/>
      <c r="P9" s="476"/>
      <c r="R9" s="441" t="s">
        <v>64</v>
      </c>
      <c r="S9" s="441"/>
      <c r="T9" s="441"/>
      <c r="U9" s="441"/>
      <c r="V9" s="441"/>
      <c r="W9" s="3"/>
      <c r="X9" s="3"/>
      <c r="Y9" s="441" t="s">
        <v>66</v>
      </c>
      <c r="Z9" s="441"/>
      <c r="AA9" s="441"/>
      <c r="AB9" s="441"/>
      <c r="AC9" s="441"/>
      <c r="AF9" s="441" t="s">
        <v>67</v>
      </c>
      <c r="AG9" s="441"/>
      <c r="AH9" s="441"/>
      <c r="AI9" s="441"/>
      <c r="AJ9" s="441"/>
      <c r="AK9" s="487" t="s">
        <v>116</v>
      </c>
      <c r="AL9" s="488"/>
      <c r="AM9" s="488"/>
      <c r="AN9" s="488"/>
      <c r="AO9" s="480" t="s">
        <v>156</v>
      </c>
      <c r="AP9" s="481"/>
      <c r="AQ9" s="481"/>
      <c r="AR9" s="481"/>
      <c r="AS9" s="482"/>
      <c r="AT9" s="482"/>
    </row>
    <row r="10" spans="1:46" ht="19.5" customHeight="1">
      <c r="A10" s="260"/>
      <c r="B10" s="283" t="s">
        <v>0</v>
      </c>
      <c r="D10" s="260"/>
      <c r="E10" s="260"/>
      <c r="F10" s="260"/>
      <c r="G10" s="260"/>
      <c r="H10" s="260"/>
      <c r="I10" s="260"/>
      <c r="J10" s="483"/>
      <c r="K10" s="483"/>
      <c r="L10" s="483"/>
      <c r="M10" s="483"/>
      <c r="N10" s="483"/>
      <c r="O10" s="483"/>
      <c r="P10" s="483"/>
      <c r="Q10" s="261"/>
      <c r="R10" s="477">
        <v>2000000</v>
      </c>
      <c r="S10" s="478"/>
      <c r="T10" s="478"/>
      <c r="U10" s="478"/>
      <c r="V10" s="479"/>
      <c r="W10" s="4" t="s">
        <v>8</v>
      </c>
      <c r="X10" s="5"/>
      <c r="Y10" s="442"/>
      <c r="Z10" s="443"/>
      <c r="AA10" s="443"/>
      <c r="AB10" s="443"/>
      <c r="AC10" s="444"/>
      <c r="AD10" s="260" t="s">
        <v>65</v>
      </c>
      <c r="AE10" s="260"/>
      <c r="AF10" s="438"/>
      <c r="AG10" s="439"/>
      <c r="AH10" s="439"/>
      <c r="AI10" s="439"/>
      <c r="AJ10" s="440"/>
      <c r="AK10" s="260" t="s">
        <v>65</v>
      </c>
      <c r="AL10" s="288"/>
      <c r="AM10" s="289"/>
      <c r="AN10" s="260"/>
      <c r="AR10"/>
    </row>
    <row r="11" spans="1:46" ht="18" customHeight="1" thickBot="1">
      <c r="A11" s="260"/>
      <c r="B11" s="3"/>
      <c r="D11" s="260"/>
      <c r="E11" s="260"/>
      <c r="F11" s="260"/>
      <c r="G11" s="262" t="str">
        <f>IF(AND(★計算基準!A19=1,★計算基準!C19=5),"７５歳以上加入不可","")</f>
        <v/>
      </c>
      <c r="H11" s="260"/>
      <c r="I11" s="263" t="str">
        <f>IF(AND(★計算基準!K3=TRUE,★計算基準!C19&gt;4),"非自発的失業者の対象は６４歳以下です。","")</f>
        <v/>
      </c>
      <c r="J11" s="260"/>
      <c r="K11" s="260"/>
      <c r="L11" s="260"/>
      <c r="M11" s="260"/>
      <c r="N11" s="260"/>
      <c r="O11" s="260"/>
      <c r="P11" s="260"/>
      <c r="Q11" s="261"/>
      <c r="R11" s="264"/>
      <c r="S11" s="264"/>
      <c r="T11" s="264"/>
      <c r="U11" s="264"/>
      <c r="V11" s="264"/>
      <c r="W11" s="264"/>
      <c r="X11" s="264"/>
      <c r="Y11" s="264"/>
      <c r="Z11" s="264"/>
      <c r="AA11" s="264"/>
      <c r="AB11" s="264"/>
      <c r="AC11" s="260"/>
      <c r="AD11" s="260"/>
      <c r="AE11" s="260"/>
      <c r="AF11" s="260"/>
      <c r="AG11" s="260"/>
      <c r="AH11" s="260"/>
      <c r="AI11" s="260"/>
      <c r="AJ11" s="260"/>
      <c r="AK11" s="260"/>
      <c r="AL11" s="289"/>
      <c r="AM11" s="260"/>
      <c r="AN11" s="260"/>
    </row>
    <row r="12" spans="1:46" ht="20.100000000000001" customHeight="1">
      <c r="A12" s="260"/>
      <c r="B12" s="283" t="s">
        <v>1</v>
      </c>
      <c r="D12" s="260"/>
      <c r="E12" s="260"/>
      <c r="F12" s="260"/>
      <c r="G12" s="260"/>
      <c r="H12" s="260"/>
      <c r="I12" s="260"/>
      <c r="J12" s="483"/>
      <c r="K12" s="483"/>
      <c r="L12" s="483"/>
      <c r="M12" s="483"/>
      <c r="N12" s="483"/>
      <c r="O12" s="483"/>
      <c r="P12" s="483"/>
      <c r="Q12" s="261"/>
      <c r="R12" s="477"/>
      <c r="S12" s="478"/>
      <c r="T12" s="478"/>
      <c r="U12" s="478"/>
      <c r="V12" s="479"/>
      <c r="W12" s="4" t="s">
        <v>8</v>
      </c>
      <c r="X12" s="5"/>
      <c r="Y12" s="442"/>
      <c r="Z12" s="443"/>
      <c r="AA12" s="443"/>
      <c r="AB12" s="443"/>
      <c r="AC12" s="444"/>
      <c r="AD12" s="260" t="s">
        <v>65</v>
      </c>
      <c r="AE12" s="260"/>
      <c r="AF12" s="438"/>
      <c r="AG12" s="439"/>
      <c r="AH12" s="439"/>
      <c r="AI12" s="439"/>
      <c r="AJ12" s="440"/>
      <c r="AK12" s="260" t="s">
        <v>65</v>
      </c>
      <c r="AL12" s="289"/>
      <c r="AM12" s="260"/>
      <c r="AN12" s="260"/>
    </row>
    <row r="13" spans="1:46" ht="19.5" customHeight="1" thickBot="1">
      <c r="A13" s="260"/>
      <c r="B13" s="283"/>
      <c r="D13" s="260"/>
      <c r="E13" s="260"/>
      <c r="F13" s="260"/>
      <c r="G13" s="260"/>
      <c r="H13" s="260"/>
      <c r="I13" s="263" t="str">
        <f>IF(AND(★計算基準!D20=0,OR(試算シート!R12&gt;0,試算シート!Y12&gt;0,試算シート!AF12&gt;0)),"未加入者の所得（収入）は保険料計算の対象になりません。",IF(AND(★計算基準!K4=TRUE,★計算基準!C20=6),"非自発的失業者の対象は６４歳以下です。",""))</f>
        <v/>
      </c>
      <c r="J13" s="260"/>
      <c r="K13" s="260"/>
      <c r="L13" s="260"/>
      <c r="M13" s="260"/>
      <c r="N13" s="260"/>
      <c r="O13" s="260"/>
      <c r="P13" s="260"/>
      <c r="Q13" s="261"/>
      <c r="R13" s="264"/>
      <c r="S13" s="264"/>
      <c r="T13" s="264"/>
      <c r="U13" s="264"/>
      <c r="V13" s="264"/>
      <c r="W13" s="264"/>
      <c r="X13" s="264"/>
      <c r="Y13" s="264"/>
      <c r="Z13" s="264"/>
      <c r="AA13" s="264"/>
      <c r="AB13" s="264"/>
      <c r="AC13" s="260"/>
      <c r="AD13" s="260"/>
      <c r="AE13" s="260"/>
      <c r="AF13" s="260"/>
      <c r="AG13" s="260"/>
      <c r="AH13" s="260"/>
      <c r="AI13" s="260"/>
      <c r="AJ13" s="260"/>
      <c r="AK13" s="260"/>
      <c r="AL13" s="289"/>
      <c r="AM13" s="260"/>
      <c r="AN13" s="260"/>
    </row>
    <row r="14" spans="1:46" ht="20.100000000000001" customHeight="1">
      <c r="A14" s="260"/>
      <c r="B14" s="283" t="s">
        <v>2</v>
      </c>
      <c r="D14" s="260"/>
      <c r="E14" s="260"/>
      <c r="F14" s="260"/>
      <c r="G14" s="260"/>
      <c r="H14" s="260"/>
      <c r="I14" s="260"/>
      <c r="J14" s="483"/>
      <c r="K14" s="483"/>
      <c r="L14" s="483"/>
      <c r="M14" s="483"/>
      <c r="N14" s="483"/>
      <c r="O14" s="483"/>
      <c r="P14" s="483"/>
      <c r="Q14" s="261"/>
      <c r="R14" s="477"/>
      <c r="S14" s="478"/>
      <c r="T14" s="478"/>
      <c r="U14" s="478"/>
      <c r="V14" s="479"/>
      <c r="W14" s="4" t="s">
        <v>8</v>
      </c>
      <c r="X14" s="5"/>
      <c r="Y14" s="442"/>
      <c r="Z14" s="443"/>
      <c r="AA14" s="443"/>
      <c r="AB14" s="443"/>
      <c r="AC14" s="444"/>
      <c r="AD14" s="260" t="s">
        <v>65</v>
      </c>
      <c r="AE14" s="260"/>
      <c r="AF14" s="438"/>
      <c r="AG14" s="439"/>
      <c r="AH14" s="439"/>
      <c r="AI14" s="439"/>
      <c r="AJ14" s="440"/>
      <c r="AK14" s="260" t="s">
        <v>65</v>
      </c>
      <c r="AL14" s="289"/>
      <c r="AM14" s="260"/>
      <c r="AN14" s="260"/>
    </row>
    <row r="15" spans="1:46" ht="18" customHeight="1" thickBot="1">
      <c r="A15" s="260"/>
      <c r="B15" s="283"/>
      <c r="D15" s="260"/>
      <c r="E15" s="260"/>
      <c r="F15" s="260"/>
      <c r="G15" s="260"/>
      <c r="H15" s="260"/>
      <c r="I15" s="263" t="str">
        <f>IF(AND(★計算基準!D21=0,OR(試算シート!R14&gt;0,試算シート!Y14&gt;0,試算シート!AF14&gt;0)),"未加入者の所得（収入）は保険料計算の対象になりません。",IF(AND(★計算基準!K5=TRUE,★計算基準!C21=6),"非自発的失業者の対象は６４歳以下です。",""))</f>
        <v/>
      </c>
      <c r="J15" s="260"/>
      <c r="K15" s="260"/>
      <c r="L15" s="260"/>
      <c r="M15" s="260"/>
      <c r="N15" s="260"/>
      <c r="O15" s="260"/>
      <c r="P15" s="260"/>
      <c r="Q15" s="261"/>
      <c r="R15" s="264"/>
      <c r="S15" s="264"/>
      <c r="T15" s="264"/>
      <c r="U15" s="264"/>
      <c r="V15" s="264"/>
      <c r="W15" s="264"/>
      <c r="X15" s="264"/>
      <c r="Y15" s="264"/>
      <c r="Z15" s="264"/>
      <c r="AA15" s="264"/>
      <c r="AB15" s="264"/>
      <c r="AC15" s="260"/>
      <c r="AD15" s="260"/>
      <c r="AE15" s="260"/>
      <c r="AF15" s="260"/>
      <c r="AG15" s="260"/>
      <c r="AH15" s="260"/>
      <c r="AI15" s="260"/>
      <c r="AJ15" s="260"/>
      <c r="AK15" s="260"/>
      <c r="AL15" s="289"/>
      <c r="AM15" s="260"/>
      <c r="AN15" s="260"/>
    </row>
    <row r="16" spans="1:46" ht="20.100000000000001" customHeight="1">
      <c r="A16" s="260"/>
      <c r="B16" s="283" t="s">
        <v>3</v>
      </c>
      <c r="D16" s="260"/>
      <c r="E16" s="260"/>
      <c r="F16" s="260"/>
      <c r="G16" s="260"/>
      <c r="H16" s="260"/>
      <c r="I16" s="260"/>
      <c r="J16" s="483"/>
      <c r="K16" s="483"/>
      <c r="L16" s="483"/>
      <c r="M16" s="483"/>
      <c r="N16" s="483"/>
      <c r="O16" s="483"/>
      <c r="P16" s="483"/>
      <c r="Q16" s="261"/>
      <c r="R16" s="477"/>
      <c r="S16" s="478"/>
      <c r="T16" s="478"/>
      <c r="U16" s="478"/>
      <c r="V16" s="479"/>
      <c r="W16" s="4" t="s">
        <v>8</v>
      </c>
      <c r="X16" s="5"/>
      <c r="Y16" s="442"/>
      <c r="Z16" s="443"/>
      <c r="AA16" s="443"/>
      <c r="AB16" s="443"/>
      <c r="AC16" s="444"/>
      <c r="AD16" s="260" t="s">
        <v>65</v>
      </c>
      <c r="AE16" s="260"/>
      <c r="AF16" s="438"/>
      <c r="AG16" s="439"/>
      <c r="AH16" s="439"/>
      <c r="AI16" s="439"/>
      <c r="AJ16" s="440"/>
      <c r="AK16" s="260" t="s">
        <v>65</v>
      </c>
      <c r="AL16" s="289"/>
      <c r="AM16" s="260"/>
      <c r="AN16" s="260"/>
    </row>
    <row r="17" spans="1:40" ht="17.25" customHeight="1" thickBot="1">
      <c r="A17" s="260"/>
      <c r="B17" s="283"/>
      <c r="D17" s="260"/>
      <c r="E17" s="260"/>
      <c r="F17" s="260"/>
      <c r="G17" s="260"/>
      <c r="H17" s="260"/>
      <c r="I17" s="263" t="str">
        <f>IF(AND(★計算基準!D22=0,OR(試算シート!R16&gt;0,試算シート!Y16&gt;0,試算シート!AF16&gt;0)),"未加入者の所得（収入）は保険料計算の対象になりません。",IF(AND(★計算基準!K6=TRUE,★計算基準!C22=6),"非自発的失業者の対象は６４歳以下です。",""))</f>
        <v/>
      </c>
      <c r="J17" s="260"/>
      <c r="K17" s="260"/>
      <c r="L17" s="260"/>
      <c r="M17" s="260"/>
      <c r="N17" s="260"/>
      <c r="O17" s="260"/>
      <c r="P17" s="260"/>
      <c r="Q17" s="261"/>
      <c r="R17" s="264"/>
      <c r="S17" s="264"/>
      <c r="T17" s="264"/>
      <c r="U17" s="264"/>
      <c r="V17" s="264"/>
      <c r="W17" s="264"/>
      <c r="X17" s="264"/>
      <c r="Y17" s="264"/>
      <c r="Z17" s="264"/>
      <c r="AA17" s="264"/>
      <c r="AB17" s="264"/>
      <c r="AC17" s="260"/>
      <c r="AD17" s="260"/>
      <c r="AE17" s="260"/>
      <c r="AF17" s="260"/>
      <c r="AG17" s="260"/>
      <c r="AH17" s="260"/>
      <c r="AI17" s="260"/>
      <c r="AJ17" s="260"/>
      <c r="AK17" s="260"/>
      <c r="AL17" s="289"/>
      <c r="AM17" s="260"/>
      <c r="AN17" s="260"/>
    </row>
    <row r="18" spans="1:40" ht="20.100000000000001" customHeight="1">
      <c r="A18" s="260"/>
      <c r="B18" s="283" t="s">
        <v>4</v>
      </c>
      <c r="D18" s="260"/>
      <c r="E18" s="260"/>
      <c r="F18" s="260"/>
      <c r="G18" s="260"/>
      <c r="H18" s="260"/>
      <c r="I18" s="260"/>
      <c r="J18" s="483"/>
      <c r="K18" s="483"/>
      <c r="L18" s="483"/>
      <c r="M18" s="483"/>
      <c r="N18" s="483"/>
      <c r="O18" s="483"/>
      <c r="P18" s="483"/>
      <c r="Q18" s="261"/>
      <c r="R18" s="477"/>
      <c r="S18" s="478"/>
      <c r="T18" s="478"/>
      <c r="U18" s="478"/>
      <c r="V18" s="479"/>
      <c r="W18" s="4" t="s">
        <v>8</v>
      </c>
      <c r="X18" s="5"/>
      <c r="Y18" s="442"/>
      <c r="Z18" s="443"/>
      <c r="AA18" s="443"/>
      <c r="AB18" s="443"/>
      <c r="AC18" s="444"/>
      <c r="AD18" s="260" t="s">
        <v>65</v>
      </c>
      <c r="AE18" s="260"/>
      <c r="AF18" s="438"/>
      <c r="AG18" s="439"/>
      <c r="AH18" s="439"/>
      <c r="AI18" s="439"/>
      <c r="AJ18" s="440"/>
      <c r="AK18" s="260" t="s">
        <v>65</v>
      </c>
      <c r="AL18" s="289"/>
      <c r="AM18" s="260"/>
      <c r="AN18" s="260"/>
    </row>
    <row r="19" spans="1:40" ht="18" customHeight="1" thickBot="1">
      <c r="A19" s="260"/>
      <c r="B19" s="283"/>
      <c r="D19" s="260"/>
      <c r="E19" s="260"/>
      <c r="F19" s="260"/>
      <c r="G19" s="260"/>
      <c r="H19" s="260"/>
      <c r="I19" s="263" t="str">
        <f>IF(AND(★計算基準!D23=0,OR(試算シート!R18&gt;0,試算シート!Y18&gt;0,試算シート!AF18&gt;0)),"未加入者の所得（収入）は保険料計算の対象になりません。",IF(AND(★計算基準!K7=TRUE,★計算基準!C23=6),"非自発的失業者の対象は６４歳以下です。",""))</f>
        <v/>
      </c>
      <c r="J19" s="260"/>
      <c r="K19" s="260"/>
      <c r="L19" s="260"/>
      <c r="M19" s="260"/>
      <c r="N19" s="260"/>
      <c r="O19" s="260"/>
      <c r="P19" s="260"/>
      <c r="Q19" s="261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0"/>
      <c r="AD19" s="260"/>
      <c r="AE19" s="260"/>
      <c r="AF19" s="260"/>
      <c r="AG19" s="260"/>
      <c r="AH19" s="260"/>
      <c r="AI19" s="260"/>
      <c r="AJ19" s="260"/>
      <c r="AK19" s="260"/>
      <c r="AL19" s="289"/>
      <c r="AM19" s="260"/>
      <c r="AN19" s="260"/>
    </row>
    <row r="20" spans="1:40" ht="20.100000000000001" customHeight="1">
      <c r="A20" s="260"/>
      <c r="B20" s="283" t="s">
        <v>5</v>
      </c>
      <c r="D20" s="260"/>
      <c r="E20" s="260"/>
      <c r="F20" s="260"/>
      <c r="G20" s="260"/>
      <c r="H20" s="260"/>
      <c r="I20" s="260"/>
      <c r="J20" s="483"/>
      <c r="K20" s="483"/>
      <c r="L20" s="483"/>
      <c r="M20" s="483"/>
      <c r="N20" s="483"/>
      <c r="O20" s="483"/>
      <c r="P20" s="483"/>
      <c r="Q20" s="261"/>
      <c r="R20" s="477"/>
      <c r="S20" s="478"/>
      <c r="T20" s="478"/>
      <c r="U20" s="478"/>
      <c r="V20" s="479"/>
      <c r="W20" s="4" t="s">
        <v>8</v>
      </c>
      <c r="X20" s="5"/>
      <c r="Y20" s="442"/>
      <c r="Z20" s="443"/>
      <c r="AA20" s="443"/>
      <c r="AB20" s="443"/>
      <c r="AC20" s="444"/>
      <c r="AD20" s="260" t="s">
        <v>65</v>
      </c>
      <c r="AE20" s="260"/>
      <c r="AF20" s="438"/>
      <c r="AG20" s="439"/>
      <c r="AH20" s="439"/>
      <c r="AI20" s="439"/>
      <c r="AJ20" s="440"/>
      <c r="AK20" s="260" t="s">
        <v>65</v>
      </c>
      <c r="AL20" s="289"/>
      <c r="AM20" s="260"/>
      <c r="AN20" s="260"/>
    </row>
    <row r="21" spans="1:40" ht="20.25" customHeight="1">
      <c r="A21" s="260"/>
      <c r="D21" s="260"/>
      <c r="E21" s="260"/>
      <c r="F21" s="260"/>
      <c r="G21" s="260"/>
      <c r="H21" s="260"/>
      <c r="I21" s="263" t="str">
        <f>IF(AND(★計算基準!D24=0,OR(試算シート!R20&gt;0,試算シート!Y20&gt;0,試算シート!AF20&gt;0)),"未加入者の所得（収入）は保険料計算の対象になりません。",IF(AND(★計算基準!K8=TRUE,★計算基準!C24=6),"非自発的失業者の対象は６４歳以下です。",""))</f>
        <v/>
      </c>
      <c r="J21" s="260"/>
      <c r="K21" s="260"/>
      <c r="L21" s="260"/>
      <c r="M21" s="260"/>
      <c r="N21" s="260"/>
      <c r="O21" s="260"/>
      <c r="P21" s="260"/>
      <c r="Q21" s="260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0"/>
      <c r="AD21" s="260"/>
      <c r="AE21" s="260"/>
      <c r="AF21" s="260"/>
      <c r="AG21" s="260"/>
      <c r="AH21" s="260"/>
      <c r="AI21" s="260"/>
      <c r="AJ21" s="260"/>
      <c r="AK21" s="260"/>
      <c r="AL21" s="260"/>
      <c r="AM21" s="260"/>
      <c r="AN21" s="260"/>
    </row>
    <row r="22" spans="1:40" ht="6" customHeight="1" thickBot="1">
      <c r="A22" s="260"/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0"/>
      <c r="AE22" s="260"/>
      <c r="AF22" s="260"/>
      <c r="AG22" s="260"/>
      <c r="AH22" s="260"/>
      <c r="AI22" s="260"/>
      <c r="AJ22" s="260"/>
      <c r="AK22" s="260"/>
      <c r="AL22" s="260"/>
      <c r="AM22" s="260"/>
      <c r="AN22" s="260"/>
    </row>
    <row r="23" spans="1:40" ht="30" customHeight="1" thickBot="1">
      <c r="A23" s="260"/>
      <c r="B23" s="423" t="s">
        <v>47</v>
      </c>
      <c r="C23" s="424"/>
      <c r="D23" s="424"/>
      <c r="E23" s="424"/>
      <c r="F23" s="424"/>
      <c r="G23" s="424"/>
      <c r="H23" s="425"/>
      <c r="I23" s="484" t="s">
        <v>9</v>
      </c>
      <c r="J23" s="485"/>
      <c r="K23" s="485"/>
      <c r="L23" s="485"/>
      <c r="M23" s="485"/>
      <c r="N23" s="485"/>
      <c r="O23" s="485"/>
      <c r="P23" s="486" t="s">
        <v>10</v>
      </c>
      <c r="Q23" s="485"/>
      <c r="R23" s="485"/>
      <c r="S23" s="485"/>
      <c r="T23" s="485"/>
      <c r="U23" s="485"/>
      <c r="V23" s="485"/>
      <c r="W23" s="489" t="s">
        <v>49</v>
      </c>
      <c r="X23" s="490"/>
      <c r="Y23" s="490"/>
      <c r="Z23" s="490"/>
      <c r="AA23" s="490"/>
      <c r="AB23" s="490"/>
      <c r="AC23" s="490"/>
      <c r="AD23" s="593" t="s">
        <v>152</v>
      </c>
      <c r="AE23" s="594"/>
      <c r="AF23" s="594"/>
      <c r="AG23" s="594"/>
      <c r="AH23" s="594"/>
      <c r="AI23" s="594"/>
      <c r="AJ23" s="595"/>
    </row>
    <row r="24" spans="1:40" ht="15.75" customHeight="1">
      <c r="A24" s="260"/>
      <c r="I24" s="265"/>
      <c r="J24" s="265"/>
      <c r="K24" s="266"/>
      <c r="L24" s="267"/>
      <c r="M24" s="265"/>
      <c r="N24" s="265"/>
      <c r="O24" s="265"/>
      <c r="P24" s="265"/>
      <c r="Q24" s="265"/>
      <c r="R24" s="266"/>
      <c r="S24" s="267"/>
      <c r="T24" s="267"/>
      <c r="U24" s="267"/>
      <c r="V24" s="265"/>
      <c r="W24" s="265"/>
      <c r="X24" s="265"/>
      <c r="Y24" s="265"/>
      <c r="Z24" s="267"/>
      <c r="AA24" s="267"/>
      <c r="AB24" s="265"/>
      <c r="AC24" s="267"/>
      <c r="AD24" s="265"/>
      <c r="AE24" s="265"/>
      <c r="AF24" s="265"/>
      <c r="AG24" s="265"/>
    </row>
    <row r="25" spans="1:40" ht="30" customHeight="1">
      <c r="A25" s="260"/>
      <c r="B25" s="445" t="s">
        <v>16</v>
      </c>
      <c r="C25" s="446"/>
      <c r="D25" s="446"/>
      <c r="E25" s="446"/>
      <c r="F25" s="446"/>
      <c r="G25" s="446"/>
      <c r="H25" s="447"/>
      <c r="I25" s="426">
        <f>★計算基準!N25</f>
        <v>59185</v>
      </c>
      <c r="J25" s="427"/>
      <c r="K25" s="427"/>
      <c r="L25" s="427"/>
      <c r="M25" s="427"/>
      <c r="N25" s="427"/>
      <c r="O25" s="268" t="s">
        <v>8</v>
      </c>
      <c r="P25" s="428">
        <f>★計算基準!O25</f>
        <v>27679</v>
      </c>
      <c r="Q25" s="429"/>
      <c r="R25" s="429"/>
      <c r="S25" s="429"/>
      <c r="T25" s="429"/>
      <c r="U25" s="429"/>
      <c r="V25" s="269" t="s">
        <v>48</v>
      </c>
      <c r="W25" s="464">
        <f>IF(★計算基準!C38=0,0,★計算基準!P25)</f>
        <v>0</v>
      </c>
      <c r="X25" s="465"/>
      <c r="Y25" s="465"/>
      <c r="Z25" s="465"/>
      <c r="AA25" s="465"/>
      <c r="AB25" s="465"/>
      <c r="AC25" s="270" t="s">
        <v>8</v>
      </c>
      <c r="AD25" s="454">
        <f>IF(★計算基準!J38=0,0,★計算基準!Q25)</f>
        <v>2492</v>
      </c>
      <c r="AE25" s="455"/>
      <c r="AF25" s="455"/>
      <c r="AG25" s="455"/>
      <c r="AH25" s="455"/>
      <c r="AI25" s="455"/>
      <c r="AJ25" s="285" t="s">
        <v>8</v>
      </c>
    </row>
    <row r="26" spans="1:40" ht="15" customHeight="1">
      <c r="A26" s="260"/>
      <c r="B26" s="3"/>
      <c r="I26" s="473" t="s">
        <v>12</v>
      </c>
      <c r="J26" s="453"/>
      <c r="K26" s="453"/>
      <c r="L26" s="453"/>
      <c r="M26" s="453"/>
      <c r="N26" s="453"/>
      <c r="O26" s="453"/>
      <c r="P26" s="473" t="s">
        <v>12</v>
      </c>
      <c r="Q26" s="453"/>
      <c r="R26" s="453"/>
      <c r="S26" s="453"/>
      <c r="T26" s="453"/>
      <c r="U26" s="453"/>
      <c r="V26" s="453"/>
      <c r="W26" s="473" t="s">
        <v>12</v>
      </c>
      <c r="X26" s="453"/>
      <c r="Y26" s="453"/>
      <c r="Z26" s="453"/>
      <c r="AA26" s="453"/>
      <c r="AB26" s="453"/>
      <c r="AC26" s="474"/>
      <c r="AD26" s="473" t="s">
        <v>12</v>
      </c>
      <c r="AE26" s="453"/>
      <c r="AF26" s="453"/>
      <c r="AG26" s="453"/>
      <c r="AH26" s="453"/>
      <c r="AI26" s="453"/>
      <c r="AJ26" s="474"/>
    </row>
    <row r="27" spans="1:40" ht="30" customHeight="1">
      <c r="A27" s="260"/>
      <c r="B27" s="445" t="s">
        <v>17</v>
      </c>
      <c r="C27" s="446"/>
      <c r="D27" s="446"/>
      <c r="E27" s="446"/>
      <c r="F27" s="446"/>
      <c r="G27" s="446"/>
      <c r="H27" s="447"/>
      <c r="I27" s="426">
        <f>IF(★計算基準!C37=0,0,計算の詳細!P17)</f>
        <v>19800</v>
      </c>
      <c r="J27" s="427"/>
      <c r="K27" s="427"/>
      <c r="L27" s="427"/>
      <c r="M27" s="427"/>
      <c r="N27" s="427"/>
      <c r="O27" s="268" t="s">
        <v>8</v>
      </c>
      <c r="P27" s="428">
        <f>IF(★計算基準!C37=0,0,計算の詳細!P39)</f>
        <v>9000</v>
      </c>
      <c r="Q27" s="429"/>
      <c r="R27" s="429"/>
      <c r="S27" s="429"/>
      <c r="T27" s="429"/>
      <c r="U27" s="429"/>
      <c r="V27" s="269" t="s">
        <v>8</v>
      </c>
      <c r="W27" s="464">
        <f>IF(★計算基準!C38=0,0,計算の詳細!P60+IF(計算の詳細!P61="",0,計算の詳細!P61))</f>
        <v>0</v>
      </c>
      <c r="X27" s="465"/>
      <c r="Y27" s="465"/>
      <c r="Z27" s="465"/>
      <c r="AA27" s="465"/>
      <c r="AB27" s="465"/>
      <c r="AC27" s="270" t="s">
        <v>8</v>
      </c>
      <c r="AD27" s="454">
        <f>IF(★計算基準!C37=0,0,計算の詳細!P81)</f>
        <v>1200</v>
      </c>
      <c r="AE27" s="455"/>
      <c r="AF27" s="455"/>
      <c r="AG27" s="455"/>
      <c r="AH27" s="455"/>
      <c r="AI27" s="455"/>
      <c r="AJ27" s="285" t="s">
        <v>8</v>
      </c>
    </row>
    <row r="28" spans="1:40" ht="15" customHeight="1">
      <c r="A28" s="260"/>
      <c r="B28" s="3"/>
      <c r="I28" s="473" t="s">
        <v>12</v>
      </c>
      <c r="J28" s="453"/>
      <c r="K28" s="453"/>
      <c r="L28" s="453"/>
      <c r="M28" s="453"/>
      <c r="N28" s="453"/>
      <c r="O28" s="453"/>
      <c r="P28" s="473" t="s">
        <v>12</v>
      </c>
      <c r="Q28" s="453"/>
      <c r="R28" s="453"/>
      <c r="S28" s="453"/>
      <c r="T28" s="453"/>
      <c r="U28" s="453"/>
      <c r="V28" s="453"/>
      <c r="W28" s="473" t="s">
        <v>12</v>
      </c>
      <c r="X28" s="453"/>
      <c r="Y28" s="453"/>
      <c r="Z28" s="453"/>
      <c r="AA28" s="453"/>
      <c r="AB28" s="453"/>
      <c r="AC28" s="474"/>
      <c r="AD28" s="473" t="s">
        <v>12</v>
      </c>
      <c r="AE28" s="453"/>
      <c r="AF28" s="453"/>
      <c r="AG28" s="453"/>
      <c r="AH28" s="453"/>
      <c r="AI28" s="453"/>
      <c r="AJ28" s="474"/>
    </row>
    <row r="29" spans="1:40" ht="30" customHeight="1">
      <c r="A29" s="260"/>
      <c r="B29" s="445" t="s">
        <v>148</v>
      </c>
      <c r="C29" s="446"/>
      <c r="D29" s="446"/>
      <c r="E29" s="446"/>
      <c r="F29" s="446"/>
      <c r="G29" s="446"/>
      <c r="H29" s="447"/>
      <c r="I29" s="448" t="s">
        <v>144</v>
      </c>
      <c r="J29" s="449"/>
      <c r="K29" s="449"/>
      <c r="L29" s="449"/>
      <c r="M29" s="449"/>
      <c r="N29" s="449"/>
      <c r="O29" s="268"/>
      <c r="P29" s="450" t="s">
        <v>154</v>
      </c>
      <c r="Q29" s="451"/>
      <c r="R29" s="451"/>
      <c r="S29" s="451"/>
      <c r="T29" s="451"/>
      <c r="U29" s="451"/>
      <c r="V29" s="287"/>
      <c r="W29" s="452" t="s">
        <v>154</v>
      </c>
      <c r="X29" s="453"/>
      <c r="Y29" s="453"/>
      <c r="Z29" s="453"/>
      <c r="AA29" s="453"/>
      <c r="AB29" s="453"/>
      <c r="AC29" s="270"/>
      <c r="AD29" s="454">
        <f>IF(★計算基準!C37=0,0,計算の詳細!P86)</f>
        <v>100</v>
      </c>
      <c r="AE29" s="455"/>
      <c r="AF29" s="455"/>
      <c r="AG29" s="455"/>
      <c r="AH29" s="455"/>
      <c r="AI29" s="455"/>
      <c r="AJ29" s="285" t="s">
        <v>8</v>
      </c>
    </row>
    <row r="30" spans="1:40" ht="15" customHeight="1">
      <c r="A30" s="260"/>
      <c r="B30" s="3"/>
      <c r="I30" s="473" t="s">
        <v>53</v>
      </c>
      <c r="J30" s="453"/>
      <c r="K30" s="453"/>
      <c r="L30" s="453"/>
      <c r="M30" s="453"/>
      <c r="N30" s="453"/>
      <c r="O30" s="453"/>
      <c r="P30" s="473" t="s">
        <v>53</v>
      </c>
      <c r="Q30" s="453"/>
      <c r="R30" s="453"/>
      <c r="S30" s="453"/>
      <c r="T30" s="453"/>
      <c r="U30" s="453"/>
      <c r="V30" s="453"/>
      <c r="W30" s="473" t="s">
        <v>12</v>
      </c>
      <c r="X30" s="453"/>
      <c r="Y30" s="453"/>
      <c r="Z30" s="453"/>
      <c r="AA30" s="453"/>
      <c r="AB30" s="453"/>
      <c r="AC30" s="474"/>
      <c r="AD30" s="473" t="s">
        <v>12</v>
      </c>
      <c r="AE30" s="453"/>
      <c r="AF30" s="453"/>
      <c r="AG30" s="453"/>
      <c r="AH30" s="453"/>
      <c r="AI30" s="453"/>
      <c r="AJ30" s="474"/>
    </row>
    <row r="31" spans="1:40" ht="30" customHeight="1">
      <c r="A31" s="260"/>
      <c r="B31" s="445" t="s">
        <v>131</v>
      </c>
      <c r="C31" s="446"/>
      <c r="D31" s="446"/>
      <c r="E31" s="446"/>
      <c r="F31" s="446"/>
      <c r="G31" s="446"/>
      <c r="H31" s="447"/>
      <c r="I31" s="426">
        <f>IF(★計算基準!C37=0,0,計算の詳細!P21)</f>
        <v>13900</v>
      </c>
      <c r="J31" s="427"/>
      <c r="K31" s="427"/>
      <c r="L31" s="427"/>
      <c r="M31" s="427"/>
      <c r="N31" s="427"/>
      <c r="O31" s="268" t="s">
        <v>8</v>
      </c>
      <c r="P31" s="428">
        <f>IF(★計算基準!C37=0,0,計算の詳細!P43+IF(計算の詳細!P44="",0,計算の詳細!P44))</f>
        <v>6300</v>
      </c>
      <c r="Q31" s="429"/>
      <c r="R31" s="429"/>
      <c r="S31" s="429"/>
      <c r="T31" s="429"/>
      <c r="U31" s="429"/>
      <c r="V31" s="272" t="s">
        <v>8</v>
      </c>
      <c r="W31" s="464">
        <f>IF(★計算基準!C38=0,0,計算の詳細!P64+IF(計算の詳細!P65="",0,計算の詳細!P65))</f>
        <v>0</v>
      </c>
      <c r="X31" s="465"/>
      <c r="Y31" s="465"/>
      <c r="Z31" s="465"/>
      <c r="AA31" s="465"/>
      <c r="AB31" s="465"/>
      <c r="AC31" s="270" t="s">
        <v>8</v>
      </c>
      <c r="AD31" s="454">
        <f>IF(★計算基準!C37=0,0,計算の詳細!P90)</f>
        <v>800</v>
      </c>
      <c r="AE31" s="455"/>
      <c r="AF31" s="455"/>
      <c r="AG31" s="455"/>
      <c r="AH31" s="455"/>
      <c r="AI31" s="455"/>
      <c r="AJ31" s="285" t="s">
        <v>8</v>
      </c>
    </row>
    <row r="32" spans="1:40" ht="15" hidden="1" customHeight="1">
      <c r="A32" s="260"/>
      <c r="B32" s="3"/>
      <c r="I32" s="433" t="str">
        <f>IF(B33="","","|")</f>
        <v>|</v>
      </c>
      <c r="J32" s="434"/>
      <c r="K32" s="434"/>
      <c r="L32" s="434"/>
      <c r="M32" s="434"/>
      <c r="N32" s="434"/>
      <c r="O32" s="434"/>
      <c r="P32" s="433" t="str">
        <f>IF(B33="","","|")</f>
        <v>|</v>
      </c>
      <c r="Q32" s="434"/>
      <c r="R32" s="434"/>
      <c r="S32" s="434"/>
      <c r="T32" s="434"/>
      <c r="U32" s="434"/>
      <c r="V32" s="434"/>
      <c r="W32" s="471"/>
      <c r="X32" s="472"/>
      <c r="Y32" s="472"/>
      <c r="Z32" s="472"/>
      <c r="AA32" s="472"/>
      <c r="AB32" s="472"/>
      <c r="AC32" s="472"/>
      <c r="AD32" s="266"/>
      <c r="AE32" s="266"/>
    </row>
    <row r="33" spans="1:46" ht="16.5" hidden="1" customHeight="1">
      <c r="A33" s="260"/>
      <c r="B33" s="435" t="str">
        <f>IF(計算の詳細!C24="","","多子世帯減免")</f>
        <v>多子世帯減免</v>
      </c>
      <c r="C33" s="435"/>
      <c r="D33" s="435"/>
      <c r="E33" s="435"/>
      <c r="F33" s="435"/>
      <c r="G33" s="435"/>
      <c r="H33" s="435"/>
      <c r="I33" s="436">
        <f>IF(B33="","",計算の詳細!K24)</f>
        <v>0</v>
      </c>
      <c r="J33" s="436"/>
      <c r="K33" s="436"/>
      <c r="L33" s="436"/>
      <c r="M33" s="436"/>
      <c r="N33" s="436"/>
      <c r="O33" s="273" t="str">
        <f>IF(B33="","","円")</f>
        <v>円</v>
      </c>
      <c r="P33" s="436">
        <f>IF(B33="","",計算の詳細!K46)</f>
        <v>0</v>
      </c>
      <c r="Q33" s="437"/>
      <c r="R33" s="437"/>
      <c r="S33" s="437"/>
      <c r="T33" s="437"/>
      <c r="U33" s="437"/>
      <c r="V33" s="273" t="str">
        <f>IF(B33="","","円")</f>
        <v>円</v>
      </c>
      <c r="W33" s="436"/>
      <c r="X33" s="437"/>
      <c r="Y33" s="437"/>
      <c r="Z33" s="437"/>
      <c r="AA33" s="437"/>
      <c r="AB33" s="437"/>
      <c r="AC33" s="273"/>
      <c r="AD33" s="271"/>
      <c r="AE33" s="271"/>
      <c r="AF33" s="271"/>
      <c r="AG33" s="271"/>
      <c r="AH33" s="271"/>
    </row>
    <row r="34" spans="1:46" ht="15" customHeight="1" thickBot="1">
      <c r="A34" s="260"/>
      <c r="I34" s="430" t="s">
        <v>51</v>
      </c>
      <c r="J34" s="430"/>
      <c r="K34" s="430"/>
      <c r="L34" s="430"/>
      <c r="M34" s="430"/>
      <c r="N34" s="430"/>
      <c r="O34" s="430"/>
      <c r="P34" s="430" t="s">
        <v>122</v>
      </c>
      <c r="Q34" s="430"/>
      <c r="R34" s="430"/>
      <c r="S34" s="430"/>
      <c r="T34" s="430"/>
      <c r="U34" s="430"/>
      <c r="V34" s="430"/>
      <c r="W34" s="430" t="s">
        <v>51</v>
      </c>
      <c r="X34" s="430"/>
      <c r="Y34" s="430"/>
      <c r="Z34" s="430"/>
      <c r="AA34" s="430"/>
      <c r="AB34" s="430"/>
      <c r="AC34" s="430"/>
      <c r="AD34" s="430" t="s">
        <v>51</v>
      </c>
      <c r="AE34" s="430"/>
      <c r="AF34" s="430"/>
      <c r="AG34" s="430"/>
      <c r="AH34" s="430"/>
      <c r="AI34" s="430"/>
      <c r="AJ34" s="430"/>
      <c r="AM34" s="469" t="s">
        <v>132</v>
      </c>
      <c r="AN34" s="469"/>
      <c r="AO34" s="469"/>
      <c r="AP34" s="469"/>
      <c r="AQ34" s="469"/>
      <c r="AR34" s="469"/>
      <c r="AS34" s="469"/>
      <c r="AT34" s="469"/>
    </row>
    <row r="35" spans="1:46" ht="34.5" customHeight="1" thickTop="1" thickBot="1">
      <c r="A35" s="260"/>
      <c r="B35" s="423" t="s">
        <v>13</v>
      </c>
      <c r="C35" s="424"/>
      <c r="D35" s="424"/>
      <c r="E35" s="424"/>
      <c r="F35" s="424"/>
      <c r="G35" s="424"/>
      <c r="H35" s="425"/>
      <c r="I35" s="493">
        <f>IF(ROUNDDOWN(I25+I27+I31-MAX(I33,0),-2)&gt;=★計算基準!G12,★計算基準!G12,ROUNDDOWN(I25+I27+I31-MAX(I33,0),-2))</f>
        <v>92800</v>
      </c>
      <c r="J35" s="494"/>
      <c r="K35" s="494"/>
      <c r="L35" s="494"/>
      <c r="M35" s="494"/>
      <c r="N35" s="494"/>
      <c r="O35" s="274" t="s">
        <v>8</v>
      </c>
      <c r="P35" s="431">
        <f>IF(ROUNDDOWN(P25+P27+P31-MAX(P33,0),-2)&gt;=★計算基準!G13,★計算基準!G13,ROUNDDOWN(P25+P27+P31-MAX(P33,0),-2))</f>
        <v>42900</v>
      </c>
      <c r="Q35" s="432"/>
      <c r="R35" s="432"/>
      <c r="S35" s="432"/>
      <c r="T35" s="432"/>
      <c r="U35" s="432"/>
      <c r="V35" s="275" t="s">
        <v>8</v>
      </c>
      <c r="W35" s="470">
        <f>IF(ROUNDDOWN(W25+W27+W31,-2)&gt;=★計算基準!G14,★計算基準!G14,ROUNDDOWN(W25+W27+W31,-2))</f>
        <v>0</v>
      </c>
      <c r="X35" s="470"/>
      <c r="Y35" s="470"/>
      <c r="Z35" s="470"/>
      <c r="AA35" s="470"/>
      <c r="AB35" s="470"/>
      <c r="AC35" s="589" t="s">
        <v>50</v>
      </c>
      <c r="AD35" s="590">
        <f>IF(ROUNDDOWN(AD25+AD27+AD29+AD31,-2)&gt;=★計算基準!G15,★計算基準!G15,ROUNDDOWN(AD25+AD27+AD29+AD31,-2))</f>
        <v>4500</v>
      </c>
      <c r="AE35" s="475"/>
      <c r="AF35" s="475"/>
      <c r="AG35" s="475"/>
      <c r="AH35" s="475"/>
      <c r="AI35" s="475"/>
      <c r="AJ35" s="286" t="s">
        <v>37</v>
      </c>
      <c r="AM35" s="466">
        <f>I35+P35+W35+AD35</f>
        <v>140200</v>
      </c>
      <c r="AN35" s="467"/>
      <c r="AO35" s="468"/>
      <c r="AP35" s="468"/>
      <c r="AQ35" s="468"/>
      <c r="AR35" s="468"/>
      <c r="AS35" s="468"/>
      <c r="AT35" s="276" t="s">
        <v>8</v>
      </c>
    </row>
    <row r="36" spans="1:46" ht="6" customHeight="1">
      <c r="A36" s="260"/>
    </row>
    <row r="37" spans="1:46" ht="18" customHeight="1">
      <c r="A37" s="260"/>
      <c r="B37" s="277" t="s">
        <v>63</v>
      </c>
      <c r="C37" s="278"/>
      <c r="D37" s="11"/>
      <c r="E37" s="11"/>
      <c r="F37" s="11"/>
      <c r="G37" s="11"/>
      <c r="AL37" s="279" t="s">
        <v>134</v>
      </c>
      <c r="AM37" s="456">
        <f>AM35/12</f>
        <v>11683.333333333334</v>
      </c>
      <c r="AN37" s="457"/>
      <c r="AO37" s="458"/>
      <c r="AP37" s="458"/>
      <c r="AQ37" s="458"/>
      <c r="AR37" s="458"/>
      <c r="AS37" s="458"/>
      <c r="AT37" s="280" t="s">
        <v>37</v>
      </c>
    </row>
    <row r="38" spans="1:46" ht="15.75">
      <c r="A38" s="260"/>
      <c r="B38" s="277"/>
      <c r="C38" s="278"/>
      <c r="D38" s="11"/>
      <c r="E38" s="11"/>
      <c r="F38" s="11"/>
      <c r="G38" s="11"/>
      <c r="AD38" s="279"/>
      <c r="AM38" s="461" t="s">
        <v>133</v>
      </c>
      <c r="AN38" s="462"/>
      <c r="AO38" s="463"/>
      <c r="AP38" s="463"/>
      <c r="AQ38" s="463"/>
      <c r="AR38" s="463"/>
      <c r="AS38" s="463"/>
      <c r="AT38" s="463"/>
    </row>
    <row r="39" spans="1:46" ht="6" customHeight="1" thickBot="1">
      <c r="A39" s="260"/>
      <c r="AD39" s="3"/>
    </row>
    <row r="40" spans="1:46" ht="30" customHeight="1" thickBot="1">
      <c r="A40" s="260"/>
      <c r="B40" s="3"/>
      <c r="H40" s="281" t="s">
        <v>15</v>
      </c>
      <c r="I40" s="492">
        <f>★計算基準!G12</f>
        <v>670000</v>
      </c>
      <c r="J40" s="460"/>
      <c r="K40" s="460"/>
      <c r="L40" s="460"/>
      <c r="M40" s="460"/>
      <c r="N40" s="460"/>
      <c r="O40" s="282" t="s">
        <v>8</v>
      </c>
      <c r="P40" s="491">
        <f>★計算基準!G13</f>
        <v>260000</v>
      </c>
      <c r="Q40" s="460"/>
      <c r="R40" s="460"/>
      <c r="S40" s="460"/>
      <c r="T40" s="460"/>
      <c r="U40" s="460"/>
      <c r="V40" s="275" t="s">
        <v>8</v>
      </c>
      <c r="W40" s="459">
        <f>★計算基準!G14</f>
        <v>170000</v>
      </c>
      <c r="X40" s="460"/>
      <c r="Y40" s="460"/>
      <c r="Z40" s="460"/>
      <c r="AA40" s="460"/>
      <c r="AB40" s="460"/>
      <c r="AC40" s="589" t="s">
        <v>37</v>
      </c>
      <c r="AD40" s="591">
        <f>★計算基準!G15</f>
        <v>30000</v>
      </c>
      <c r="AE40" s="592"/>
      <c r="AF40" s="592"/>
      <c r="AG40" s="592"/>
      <c r="AH40" s="592"/>
      <c r="AI40" s="592"/>
      <c r="AJ40" s="286" t="s">
        <v>37</v>
      </c>
    </row>
    <row r="41" spans="1:46" ht="9.9499999999999993" customHeight="1">
      <c r="AD41" s="3"/>
    </row>
    <row r="42" spans="1:46" ht="20.100000000000001" customHeight="1">
      <c r="B42" s="113" t="str">
        <f>IF(ISNA(IF(VLOOKUP("○",★計算基準!G47:K50,5,FALSE)=0,"",VLOOKUP("○",★計算基準!G47:K50,5,FALSE)))=TRUE,"",IF(VLOOKUP("○",★計算基準!G47:K50,5,FALSE)=0,"",VLOOKUP("○",★計算基準!G47:K50,5,FALSE)))</f>
        <v/>
      </c>
      <c r="H42" s="8"/>
      <c r="I42" s="9"/>
      <c r="J42" s="3"/>
      <c r="K42" s="3"/>
      <c r="L42" s="3"/>
      <c r="M42" s="3"/>
      <c r="N42" s="3"/>
      <c r="P42" s="9"/>
      <c r="Q42" s="3"/>
      <c r="R42" s="3"/>
      <c r="S42" s="3"/>
      <c r="T42" s="3"/>
      <c r="U42" s="3"/>
      <c r="V42" s="3"/>
      <c r="W42" s="9"/>
      <c r="X42" s="9"/>
      <c r="Y42" s="9"/>
      <c r="Z42" s="9"/>
      <c r="AA42" s="9"/>
      <c r="AB42" s="9"/>
      <c r="AC42" s="9"/>
      <c r="AD42" s="3"/>
    </row>
    <row r="43" spans="1:46" ht="21">
      <c r="B43" s="113" t="str">
        <f>IF(★計算基準!G43=0,"","未就学児にかかる均等割額の減額を適用しています。")</f>
        <v/>
      </c>
      <c r="H43" s="8"/>
      <c r="I43" s="9"/>
      <c r="J43" s="3"/>
      <c r="K43" s="3"/>
      <c r="L43" s="3"/>
      <c r="M43" s="3"/>
      <c r="N43" s="3"/>
      <c r="P43" s="9"/>
      <c r="Q43" s="3"/>
      <c r="R43" s="3"/>
      <c r="S43" s="3"/>
      <c r="T43" s="3"/>
      <c r="U43" s="3"/>
      <c r="V43" s="3"/>
      <c r="W43" s="9"/>
      <c r="X43" s="9"/>
      <c r="Y43" s="9"/>
      <c r="Z43" s="9"/>
      <c r="AA43" s="9"/>
      <c r="AB43" s="9"/>
      <c r="AC43" s="9"/>
      <c r="AD43" s="3"/>
    </row>
    <row r="44" spans="1:46" ht="20.100000000000001" customHeight="1">
      <c r="B44" s="113" t="str">
        <f>★計算基準!I16</f>
        <v/>
      </c>
    </row>
    <row r="45" spans="1:46" ht="11.25" hidden="1" customHeight="1">
      <c r="B45" s="113" t="str">
        <f>IF(★計算基準!I34=0,"","多子世帯減免を適用しています。")</f>
        <v>多子世帯減免を適用しています。</v>
      </c>
    </row>
    <row r="46" spans="1:46" ht="6" hidden="1" customHeight="1"/>
  </sheetData>
  <sheetProtection algorithmName="SHA-512" hashValue="4hu+rm6OVdDoHLB8/vnW0F5J8KT8ZyYxxZ2huB7tyI2fMrKSYiiWqTV2Vlx0TdoANee9aQUY4FSQ8NqZ+BTsDw==" saltValue="1GkxrmWM/2L8mWnPcufyPg==" spinCount="100000" sheet="1" selectLockedCells="1"/>
  <mergeCells count="91">
    <mergeCell ref="P40:U40"/>
    <mergeCell ref="I40:N40"/>
    <mergeCell ref="I35:N35"/>
    <mergeCell ref="I28:O28"/>
    <mergeCell ref="I30:O30"/>
    <mergeCell ref="W30:AC30"/>
    <mergeCell ref="W23:AC23"/>
    <mergeCell ref="W25:AB25"/>
    <mergeCell ref="W27:AB27"/>
    <mergeCell ref="W28:AC28"/>
    <mergeCell ref="I26:O26"/>
    <mergeCell ref="P30:V30"/>
    <mergeCell ref="P26:V26"/>
    <mergeCell ref="B25:H25"/>
    <mergeCell ref="I25:N25"/>
    <mergeCell ref="B27:H27"/>
    <mergeCell ref="I27:N27"/>
    <mergeCell ref="B23:H23"/>
    <mergeCell ref="J10:P10"/>
    <mergeCell ref="J18:P18"/>
    <mergeCell ref="J20:P20"/>
    <mergeCell ref="R18:V18"/>
    <mergeCell ref="I23:O23"/>
    <mergeCell ref="P23:V23"/>
    <mergeCell ref="J16:P16"/>
    <mergeCell ref="J14:P14"/>
    <mergeCell ref="J12:P12"/>
    <mergeCell ref="R20:V20"/>
    <mergeCell ref="P28:V28"/>
    <mergeCell ref="AD27:AI27"/>
    <mergeCell ref="Y18:AC18"/>
    <mergeCell ref="AF18:AJ18"/>
    <mergeCell ref="AO9:AT9"/>
    <mergeCell ref="AK9:AN9"/>
    <mergeCell ref="AF12:AJ12"/>
    <mergeCell ref="AF14:AJ14"/>
    <mergeCell ref="AF16:AJ16"/>
    <mergeCell ref="P27:U27"/>
    <mergeCell ref="W26:AC26"/>
    <mergeCell ref="P25:U25"/>
    <mergeCell ref="Y9:AC9"/>
    <mergeCell ref="Y14:AC14"/>
    <mergeCell ref="Y16:AC16"/>
    <mergeCell ref="I9:P9"/>
    <mergeCell ref="R10:V10"/>
    <mergeCell ref="R9:V9"/>
    <mergeCell ref="R14:V14"/>
    <mergeCell ref="R16:V16"/>
    <mergeCell ref="R12:V12"/>
    <mergeCell ref="Y12:AC12"/>
    <mergeCell ref="AM37:AS37"/>
    <mergeCell ref="W40:AB40"/>
    <mergeCell ref="AM38:AT38"/>
    <mergeCell ref="W31:AB31"/>
    <mergeCell ref="AM35:AS35"/>
    <mergeCell ref="W33:AB33"/>
    <mergeCell ref="AM34:AT34"/>
    <mergeCell ref="W35:AB35"/>
    <mergeCell ref="W32:AC32"/>
    <mergeCell ref="AD40:AI40"/>
    <mergeCell ref="AD31:AI31"/>
    <mergeCell ref="AD34:AJ34"/>
    <mergeCell ref="AD35:AI35"/>
    <mergeCell ref="AF10:AJ10"/>
    <mergeCell ref="AF20:AJ20"/>
    <mergeCell ref="AF9:AJ9"/>
    <mergeCell ref="Y10:AC10"/>
    <mergeCell ref="B31:H31"/>
    <mergeCell ref="B29:H29"/>
    <mergeCell ref="I29:N29"/>
    <mergeCell ref="P29:U29"/>
    <mergeCell ref="W29:AB29"/>
    <mergeCell ref="AD29:AI29"/>
    <mergeCell ref="AD30:AJ30"/>
    <mergeCell ref="Y20:AC20"/>
    <mergeCell ref="AD23:AJ23"/>
    <mergeCell ref="AD25:AI25"/>
    <mergeCell ref="AD26:AJ26"/>
    <mergeCell ref="AD28:AJ28"/>
    <mergeCell ref="B35:H35"/>
    <mergeCell ref="I31:N31"/>
    <mergeCell ref="P31:U31"/>
    <mergeCell ref="W34:AC34"/>
    <mergeCell ref="P35:U35"/>
    <mergeCell ref="I34:O34"/>
    <mergeCell ref="P34:V34"/>
    <mergeCell ref="I32:O32"/>
    <mergeCell ref="P32:V32"/>
    <mergeCell ref="B33:H33"/>
    <mergeCell ref="I33:N33"/>
    <mergeCell ref="P33:U33"/>
  </mergeCells>
  <phoneticPr fontId="2"/>
  <conditionalFormatting sqref="B33:H33">
    <cfRule type="expression" dxfId="10" priority="5">
      <formula>$B$33&lt;&gt;""</formula>
    </cfRule>
    <cfRule type="cellIs" dxfId="9" priority="18" operator="equal">
      <formula>"多子世帯減免"</formula>
    </cfRule>
  </conditionalFormatting>
  <conditionalFormatting sqref="I33:N33">
    <cfRule type="expression" dxfId="8" priority="4">
      <formula>$I$33&lt;&gt;""</formula>
    </cfRule>
    <cfRule type="notContainsBlanks" dxfId="7" priority="6">
      <formula>LEN(TRIM(I33))&gt;0</formula>
    </cfRule>
  </conditionalFormatting>
  <conditionalFormatting sqref="O33">
    <cfRule type="expression" dxfId="6" priority="3">
      <formula>$O$33&lt;&gt;""</formula>
    </cfRule>
    <cfRule type="cellIs" dxfId="5" priority="17" operator="equal">
      <formula>"円"</formula>
    </cfRule>
  </conditionalFormatting>
  <conditionalFormatting sqref="P33:U33">
    <cfRule type="expression" dxfId="4" priority="2">
      <formula>$P$33&lt;&gt;""</formula>
    </cfRule>
    <cfRule type="notContainsBlanks" dxfId="3" priority="7">
      <formula>LEN(TRIM(P33))&gt;0</formula>
    </cfRule>
  </conditionalFormatting>
  <conditionalFormatting sqref="V33">
    <cfRule type="expression" dxfId="2" priority="1">
      <formula>$V$33&lt;&gt;""</formula>
    </cfRule>
    <cfRule type="cellIs" dxfId="1" priority="11" operator="equal">
      <formula>"円"</formula>
    </cfRule>
    <cfRule type="cellIs" dxfId="0" priority="13" operator="equal">
      <formula>"円"</formula>
    </cfRule>
  </conditionalFormatting>
  <printOptions horizontalCentered="1"/>
  <pageMargins left="0.39370078740157483" right="0.39370078740157483" top="0.39370078740157483" bottom="0.39370078740157483" header="0.70866141732283472" footer="0"/>
  <pageSetup paperSize="9" scale="78" orientation="portrait" r:id="rId1"/>
  <headerFooter alignWithMargins="0">
    <oddHeader>&amp;R&amp;"BIZ UDゴシック,標準"&amp;D</oddHeader>
  </headerFooter>
  <rowBreaks count="1" manualBreakCount="1">
    <brk id="46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5" r:id="rId4" name="Drop Down 51">
              <controlPr locked="0" defaultSize="0" autoLine="0" autoPict="0">
                <anchor moveWithCells="1" sizeWithCells="1">
                  <from>
                    <xdr:col>7</xdr:col>
                    <xdr:colOff>171450</xdr:colOff>
                    <xdr:row>9</xdr:row>
                    <xdr:rowOff>0</xdr:rowOff>
                  </from>
                  <to>
                    <xdr:col>15</xdr:col>
                    <xdr:colOff>180975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" name="Drop Down 63">
              <controlPr locked="0" defaultSize="0" autoLine="0" autoPict="0">
                <anchor moveWithCells="1" sizeWithCells="1">
                  <from>
                    <xdr:col>7</xdr:col>
                    <xdr:colOff>161925</xdr:colOff>
                    <xdr:row>11</xdr:row>
                    <xdr:rowOff>0</xdr:rowOff>
                  </from>
                  <to>
                    <xdr:col>15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" name="Drop Down 64">
              <controlPr locked="0" defaultSize="0" autoLine="0" autoPict="0">
                <anchor moveWithCells="1" sizeWithCells="1">
                  <from>
                    <xdr:col>7</xdr:col>
                    <xdr:colOff>161925</xdr:colOff>
                    <xdr:row>13</xdr:row>
                    <xdr:rowOff>0</xdr:rowOff>
                  </from>
                  <to>
                    <xdr:col>15</xdr:col>
                    <xdr:colOff>171450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7" name="Drop Down 65">
              <controlPr locked="0" defaultSize="0" autoLine="0" autoPict="0">
                <anchor moveWithCells="1" sizeWithCells="1">
                  <from>
                    <xdr:col>7</xdr:col>
                    <xdr:colOff>171450</xdr:colOff>
                    <xdr:row>15</xdr:row>
                    <xdr:rowOff>0</xdr:rowOff>
                  </from>
                  <to>
                    <xdr:col>15</xdr:col>
                    <xdr:colOff>180975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8" name="Drop Down 66">
              <controlPr locked="0" defaultSize="0" autoLine="0" autoPict="0">
                <anchor moveWithCells="1" sizeWithCells="1">
                  <from>
                    <xdr:col>7</xdr:col>
                    <xdr:colOff>171450</xdr:colOff>
                    <xdr:row>17</xdr:row>
                    <xdr:rowOff>0</xdr:rowOff>
                  </from>
                  <to>
                    <xdr:col>15</xdr:col>
                    <xdr:colOff>180975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9" name="Drop Down 67">
              <controlPr locked="0" defaultSize="0" autoLine="0" autoPict="0">
                <anchor moveWithCells="1" sizeWithCells="1">
                  <from>
                    <xdr:col>7</xdr:col>
                    <xdr:colOff>171450</xdr:colOff>
                    <xdr:row>19</xdr:row>
                    <xdr:rowOff>0</xdr:rowOff>
                  </from>
                  <to>
                    <xdr:col>15</xdr:col>
                    <xdr:colOff>180975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0" name="Check Box 71">
              <controlPr locked="0" defaultSize="0" autoFill="0" autoLine="0" autoPict="0">
                <anchor moveWithCells="1">
                  <from>
                    <xdr:col>37</xdr:col>
                    <xdr:colOff>152400</xdr:colOff>
                    <xdr:row>9</xdr:row>
                    <xdr:rowOff>9525</xdr:rowOff>
                  </from>
                  <to>
                    <xdr:col>39</xdr:col>
                    <xdr:colOff>104775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1" name="Check Box 72">
              <controlPr locked="0" defaultSize="0" autoFill="0" autoLine="0" autoPict="0">
                <anchor moveWithCells="1">
                  <from>
                    <xdr:col>37</xdr:col>
                    <xdr:colOff>152400</xdr:colOff>
                    <xdr:row>13</xdr:row>
                    <xdr:rowOff>19050</xdr:rowOff>
                  </from>
                  <to>
                    <xdr:col>39</xdr:col>
                    <xdr:colOff>104775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2" name="Check Box 73">
              <controlPr locked="0" defaultSize="0" autoFill="0" autoLine="0" autoPict="0">
                <anchor moveWithCells="1">
                  <from>
                    <xdr:col>37</xdr:col>
                    <xdr:colOff>152400</xdr:colOff>
                    <xdr:row>11</xdr:row>
                    <xdr:rowOff>19050</xdr:rowOff>
                  </from>
                  <to>
                    <xdr:col>39</xdr:col>
                    <xdr:colOff>104775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3" name="Check Box 74">
              <controlPr locked="0" defaultSize="0" autoFill="0" autoLine="0" autoPict="0">
                <anchor moveWithCells="1">
                  <from>
                    <xdr:col>37</xdr:col>
                    <xdr:colOff>152400</xdr:colOff>
                    <xdr:row>19</xdr:row>
                    <xdr:rowOff>9525</xdr:rowOff>
                  </from>
                  <to>
                    <xdr:col>39</xdr:col>
                    <xdr:colOff>104775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4" name="Check Box 75">
              <controlPr locked="0" defaultSize="0" autoFill="0" autoLine="0" autoPict="0">
                <anchor moveWithCells="1">
                  <from>
                    <xdr:col>37</xdr:col>
                    <xdr:colOff>152400</xdr:colOff>
                    <xdr:row>17</xdr:row>
                    <xdr:rowOff>9525</xdr:rowOff>
                  </from>
                  <to>
                    <xdr:col>39</xdr:col>
                    <xdr:colOff>104775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5" name="Check Box 76">
              <controlPr locked="0" defaultSize="0" autoFill="0" autoLine="0" autoPict="0">
                <anchor moveWithCells="1">
                  <from>
                    <xdr:col>37</xdr:col>
                    <xdr:colOff>152400</xdr:colOff>
                    <xdr:row>15</xdr:row>
                    <xdr:rowOff>19050</xdr:rowOff>
                  </from>
                  <to>
                    <xdr:col>39</xdr:col>
                    <xdr:colOff>104775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6" name="Drop Down 78">
              <controlPr locked="0" defaultSize="0" autoLine="0" autoPict="0">
                <anchor moveWithCells="1" sizeWithCells="1">
                  <from>
                    <xdr:col>3</xdr:col>
                    <xdr:colOff>180975</xdr:colOff>
                    <xdr:row>9</xdr:row>
                    <xdr:rowOff>9525</xdr:rowOff>
                  </from>
                  <to>
                    <xdr:col>7</xdr:col>
                    <xdr:colOff>142875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17" name="Check Box 85">
              <controlPr defaultSize="0" autoFill="0" autoLine="0" autoPict="0">
                <anchor>
                  <from>
                    <xdr:col>42</xdr:col>
                    <xdr:colOff>57150</xdr:colOff>
                    <xdr:row>9</xdr:row>
                    <xdr:rowOff>47625</xdr:rowOff>
                  </from>
                  <to>
                    <xdr:col>44</xdr:col>
                    <xdr:colOff>19050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8" name="Check Box 86">
              <controlPr defaultSize="0" autoFill="0" autoLine="0" autoPict="0">
                <anchor>
                  <from>
                    <xdr:col>42</xdr:col>
                    <xdr:colOff>57150</xdr:colOff>
                    <xdr:row>13</xdr:row>
                    <xdr:rowOff>57150</xdr:rowOff>
                  </from>
                  <to>
                    <xdr:col>44</xdr:col>
                    <xdr:colOff>19050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9" name="Check Box 87">
              <controlPr defaultSize="0" autoFill="0" autoLine="0" autoPict="0">
                <anchor>
                  <from>
                    <xdr:col>42</xdr:col>
                    <xdr:colOff>57150</xdr:colOff>
                    <xdr:row>11</xdr:row>
                    <xdr:rowOff>57150</xdr:rowOff>
                  </from>
                  <to>
                    <xdr:col>44</xdr:col>
                    <xdr:colOff>19050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0" name="Check Box 88">
              <controlPr defaultSize="0" autoFill="0" autoLine="0" autoPict="0">
                <anchor>
                  <from>
                    <xdr:col>42</xdr:col>
                    <xdr:colOff>57150</xdr:colOff>
                    <xdr:row>15</xdr:row>
                    <xdr:rowOff>57150</xdr:rowOff>
                  </from>
                  <to>
                    <xdr:col>44</xdr:col>
                    <xdr:colOff>19050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1" name="Check Box 89">
              <controlPr defaultSize="0" autoFill="0" autoLine="0" autoPict="0">
                <anchor>
                  <from>
                    <xdr:col>42</xdr:col>
                    <xdr:colOff>57150</xdr:colOff>
                    <xdr:row>17</xdr:row>
                    <xdr:rowOff>47625</xdr:rowOff>
                  </from>
                  <to>
                    <xdr:col>44</xdr:col>
                    <xdr:colOff>19050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2" name="Check Box 90">
              <controlPr defaultSize="0" autoFill="0" autoLine="0" autoPict="0">
                <anchor>
                  <from>
                    <xdr:col>42</xdr:col>
                    <xdr:colOff>57150</xdr:colOff>
                    <xdr:row>19</xdr:row>
                    <xdr:rowOff>47625</xdr:rowOff>
                  </from>
                  <to>
                    <xdr:col>44</xdr:col>
                    <xdr:colOff>19050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  <pageSetUpPr fitToPage="1"/>
  </sheetPr>
  <dimension ref="B1:Y100"/>
  <sheetViews>
    <sheetView showGridLines="0" view="pageBreakPreview" zoomScale="75" zoomScaleNormal="100" zoomScaleSheetLayoutView="75" workbookViewId="0">
      <selection activeCell="M78" sqref="M78"/>
    </sheetView>
  </sheetViews>
  <sheetFormatPr defaultColWidth="2.625" defaultRowHeight="20.100000000000001" customHeight="1"/>
  <cols>
    <col min="1" max="2" width="1.125" style="1" customWidth="1"/>
    <col min="3" max="3" width="11.125" style="1" customWidth="1"/>
    <col min="4" max="4" width="9.25" style="10" customWidth="1"/>
    <col min="5" max="5" width="16.625" style="1" customWidth="1"/>
    <col min="6" max="6" width="4.625" style="10" customWidth="1"/>
    <col min="7" max="7" width="13.375" style="1" customWidth="1"/>
    <col min="8" max="8" width="3.625" style="10" customWidth="1"/>
    <col min="9" max="9" width="16.625" style="1" customWidth="1"/>
    <col min="10" max="10" width="4.625" style="1" customWidth="1"/>
    <col min="11" max="11" width="16.625" style="1" customWidth="1"/>
    <col min="12" max="12" width="3.5" style="1" customWidth="1"/>
    <col min="13" max="13" width="12.625" style="1" customWidth="1"/>
    <col min="14" max="15" width="2.625" style="1" customWidth="1"/>
    <col min="16" max="16" width="16.125" style="1" customWidth="1"/>
    <col min="17" max="17" width="2.375" style="1" customWidth="1"/>
    <col min="18" max="18" width="4.625" style="1" bestFit="1" customWidth="1"/>
    <col min="19" max="16384" width="2.625" style="1"/>
  </cols>
  <sheetData>
    <row r="1" spans="2:19" ht="10.5" customHeight="1"/>
    <row r="4" spans="2:19" ht="24.95" customHeight="1"/>
    <row r="5" spans="2:19" ht="20.100000000000001" customHeight="1">
      <c r="B5" s="3"/>
      <c r="G5" s="11" t="str">
        <f>IF(AND(G8="",G9="",G10="",G11="",G12="",G13=""),"",IF(OR(G8&lt;430000,G9&lt;430000,G10&lt;430000,G11&lt;430000,G12&lt;430000,G13&lt;430000),"※総所得金額が43万円未満の方の基礎控除額は、総所得金額と同額となります。",""))</f>
        <v/>
      </c>
    </row>
    <row r="6" spans="2:19" ht="23.1" customHeight="1">
      <c r="C6" s="528" t="s">
        <v>54</v>
      </c>
      <c r="D6" s="132"/>
      <c r="E6" s="505" t="s">
        <v>32</v>
      </c>
      <c r="F6" s="505"/>
      <c r="G6" s="495" t="s">
        <v>114</v>
      </c>
      <c r="H6" s="507"/>
      <c r="I6" s="495" t="s">
        <v>56</v>
      </c>
      <c r="J6" s="516"/>
      <c r="K6" s="495" t="s">
        <v>14</v>
      </c>
      <c r="L6" s="513"/>
      <c r="M6" s="513" t="s">
        <v>59</v>
      </c>
      <c r="N6" s="12"/>
      <c r="O6" s="12"/>
      <c r="P6" s="12"/>
      <c r="Q6" s="12"/>
      <c r="R6" s="12"/>
      <c r="S6" s="13"/>
    </row>
    <row r="7" spans="2:19" ht="23.1" customHeight="1">
      <c r="C7" s="529"/>
      <c r="D7" s="133"/>
      <c r="E7" s="506"/>
      <c r="F7" s="506"/>
      <c r="G7" s="496"/>
      <c r="H7" s="508"/>
      <c r="I7" s="517"/>
      <c r="J7" s="496"/>
      <c r="K7" s="517"/>
      <c r="L7" s="515"/>
      <c r="M7" s="514"/>
      <c r="S7" s="14"/>
    </row>
    <row r="8" spans="2:19" ht="23.1" customHeight="1">
      <c r="C8" s="529"/>
      <c r="D8" s="134" t="str">
        <f>IF(★計算基準!D19=0,"","世帯主")</f>
        <v>世帯主</v>
      </c>
      <c r="E8" s="16">
        <f>IF(★計算基準!L19=0,"",IF(★計算基準!D19=0,"",★計算基準!L19))</f>
        <v>1320000</v>
      </c>
      <c r="F8" s="17" t="str">
        <f>IF(E8="","","－")</f>
        <v>－</v>
      </c>
      <c r="G8" s="18">
        <f>IF(E8="","",IF(E8&lt;=★計算基準!H12,E8,430000))</f>
        <v>430000</v>
      </c>
      <c r="H8" s="15" t="str">
        <f>IF(E8="","","＝")</f>
        <v>＝</v>
      </c>
      <c r="I8" s="18">
        <f>IF(E8="","",IF(E8=0,"",E8-G8))</f>
        <v>890000</v>
      </c>
      <c r="J8" s="15"/>
      <c r="K8" s="19"/>
      <c r="L8" s="20"/>
      <c r="M8" s="518">
        <f>★計算基準!C12</f>
        <v>6.6500000000000004E-2</v>
      </c>
      <c r="N8" s="21"/>
      <c r="S8" s="14"/>
    </row>
    <row r="9" spans="2:19" ht="23.1" customHeight="1">
      <c r="C9" s="529"/>
      <c r="D9" s="135" t="str">
        <f>IF(★計算基準!D20=0,"","加入者1")</f>
        <v/>
      </c>
      <c r="E9" s="23" t="str">
        <f>IF(★計算基準!L20=0,"",★計算基準!L20)</f>
        <v/>
      </c>
      <c r="F9" s="24" t="str">
        <f>IF(E9="","","－")</f>
        <v/>
      </c>
      <c r="G9" s="25" t="str">
        <f>IF(E9="","",IF(E9&lt;=★計算基準!H12,E9,430000))</f>
        <v/>
      </c>
      <c r="H9" s="22" t="str">
        <f t="shared" ref="H9:H13" si="0">IF(E9="","","＝")</f>
        <v/>
      </c>
      <c r="I9" s="25" t="str">
        <f>IF(E9="","",IF(E9=0,"",E9-G9))</f>
        <v/>
      </c>
      <c r="J9" s="22"/>
      <c r="K9" s="26"/>
      <c r="L9" s="22"/>
      <c r="M9" s="519"/>
      <c r="N9" s="27"/>
      <c r="S9" s="14"/>
    </row>
    <row r="10" spans="2:19" ht="23.1" customHeight="1">
      <c r="C10" s="529"/>
      <c r="D10" s="136" t="str">
        <f>IF(★計算基準!D21=0,"","加入者2")</f>
        <v/>
      </c>
      <c r="E10" s="29" t="str">
        <f>IF(★計算基準!L21=0,"",★計算基準!L21)</f>
        <v/>
      </c>
      <c r="F10" s="30" t="str">
        <f t="shared" ref="F10:F13" si="1">IF(E10="","","－")</f>
        <v/>
      </c>
      <c r="G10" s="31" t="str">
        <f>IF(E10="","",IF(E10&lt;=★計算基準!H12,E10,430000))</f>
        <v/>
      </c>
      <c r="H10" s="28" t="str">
        <f t="shared" si="0"/>
        <v/>
      </c>
      <c r="I10" s="31" t="str">
        <f>IF(E10="","",IF(E10=0,"",E10-G10))</f>
        <v/>
      </c>
      <c r="J10" s="32"/>
      <c r="K10" s="521">
        <f>SUM(I8:I13)</f>
        <v>890000</v>
      </c>
      <c r="L10" s="33"/>
      <c r="M10" s="519"/>
      <c r="N10" s="34"/>
      <c r="P10" s="501">
        <f>ROUNDDOWN(K10*M8,0)</f>
        <v>59185</v>
      </c>
      <c r="Q10" s="151"/>
      <c r="R10" s="503" t="s">
        <v>119</v>
      </c>
      <c r="S10" s="14"/>
    </row>
    <row r="11" spans="2:19" ht="23.1" customHeight="1">
      <c r="C11" s="529"/>
      <c r="D11" s="137" t="str">
        <f>IF(★計算基準!D22=0,"","加入者3")</f>
        <v/>
      </c>
      <c r="E11" s="23" t="str">
        <f>IF(★計算基準!L22=0,"",★計算基準!L22)</f>
        <v/>
      </c>
      <c r="F11" s="6" t="str">
        <f t="shared" si="1"/>
        <v/>
      </c>
      <c r="G11" s="35" t="str">
        <f>IF(E11="","",IF(E11&lt;=★計算基準!H12,E11,430000))</f>
        <v/>
      </c>
      <c r="H11" s="10" t="str">
        <f t="shared" si="0"/>
        <v/>
      </c>
      <c r="I11" s="35" t="str">
        <f t="shared" ref="I11:I13" si="2">IF(E11="","",IF(E11=0,"",E11-G11))</f>
        <v/>
      </c>
      <c r="J11" s="10"/>
      <c r="K11" s="522"/>
      <c r="L11" s="36"/>
      <c r="M11" s="519"/>
      <c r="N11" s="27"/>
      <c r="P11" s="501"/>
      <c r="Q11" s="151"/>
      <c r="R11" s="437"/>
      <c r="S11" s="14"/>
    </row>
    <row r="12" spans="2:19" ht="23.1" customHeight="1">
      <c r="C12" s="529"/>
      <c r="D12" s="136" t="str">
        <f>IF(★計算基準!D23=0,"","加入者4")</f>
        <v/>
      </c>
      <c r="E12" s="29" t="str">
        <f>IF(★計算基準!L23=0,"",★計算基準!L23)</f>
        <v/>
      </c>
      <c r="F12" s="30" t="str">
        <f t="shared" si="1"/>
        <v/>
      </c>
      <c r="G12" s="31" t="str">
        <f>IF(E12="","",IF(E12&lt;=★計算基準!H12,E12,430000))</f>
        <v/>
      </c>
      <c r="H12" s="28" t="str">
        <f t="shared" si="0"/>
        <v/>
      </c>
      <c r="I12" s="31" t="str">
        <f t="shared" si="2"/>
        <v/>
      </c>
      <c r="J12" s="28"/>
      <c r="K12" s="21"/>
      <c r="L12" s="15"/>
      <c r="M12" s="519"/>
      <c r="N12" s="34"/>
      <c r="S12" s="14"/>
    </row>
    <row r="13" spans="2:19" ht="23.1" customHeight="1">
      <c r="C13" s="529"/>
      <c r="D13" s="195" t="str">
        <f>IF(★計算基準!D24=0,"","加入者5")</f>
        <v/>
      </c>
      <c r="E13" s="196" t="str">
        <f>IF(★計算基準!L24=0,"",★計算基準!L24)</f>
        <v/>
      </c>
      <c r="F13" s="197" t="str">
        <f t="shared" si="1"/>
        <v/>
      </c>
      <c r="G13" s="198" t="str">
        <f>IF(E13="","",IF(E13&lt;=★計算基準!H12,E13,430000))</f>
        <v/>
      </c>
      <c r="H13" s="199" t="str">
        <f t="shared" si="0"/>
        <v/>
      </c>
      <c r="I13" s="198" t="str">
        <f t="shared" si="2"/>
        <v/>
      </c>
      <c r="J13" s="199"/>
      <c r="K13" s="26"/>
      <c r="L13" s="199"/>
      <c r="M13" s="520"/>
      <c r="N13" s="200"/>
      <c r="S13" s="14"/>
    </row>
    <row r="14" spans="2:19" ht="5.0999999999999996" customHeight="1">
      <c r="C14" s="530"/>
      <c r="D14" s="133"/>
      <c r="E14" s="50"/>
      <c r="I14" s="51"/>
      <c r="K14" s="10"/>
      <c r="S14" s="14"/>
    </row>
    <row r="15" spans="2:19" ht="5.0999999999999996" customHeight="1">
      <c r="C15" s="188"/>
      <c r="D15" s="189"/>
      <c r="E15" s="190"/>
      <c r="F15" s="191"/>
      <c r="G15" s="192"/>
      <c r="H15" s="191"/>
      <c r="I15" s="193"/>
      <c r="J15" s="192"/>
      <c r="K15" s="191"/>
      <c r="L15" s="192"/>
      <c r="M15" s="192"/>
      <c r="N15" s="192"/>
      <c r="O15" s="192"/>
      <c r="P15" s="192"/>
      <c r="Q15" s="192"/>
      <c r="R15" s="192"/>
      <c r="S15" s="194"/>
    </row>
    <row r="16" spans="2:19" ht="23.1" customHeight="1">
      <c r="C16" s="499" t="s">
        <v>55</v>
      </c>
      <c r="D16" s="182"/>
      <c r="E16" s="183"/>
      <c r="F16" s="184"/>
      <c r="G16" s="185" t="s">
        <v>42</v>
      </c>
      <c r="H16" s="184"/>
      <c r="I16" s="186">
        <f>★計算基準!D12</f>
        <v>19800</v>
      </c>
      <c r="J16" s="184" t="s">
        <v>58</v>
      </c>
      <c r="K16" s="187">
        <f>★計算基準!C37</f>
        <v>1</v>
      </c>
      <c r="L16" s="184" t="s">
        <v>57</v>
      </c>
      <c r="M16" s="524">
        <f>I16*K16</f>
        <v>19800</v>
      </c>
      <c r="N16" s="524"/>
      <c r="P16" s="152"/>
      <c r="Q16" s="151"/>
      <c r="R16" s="151"/>
      <c r="S16" s="14"/>
    </row>
    <row r="17" spans="2:25" ht="22.5" customHeight="1">
      <c r="C17" s="499"/>
      <c r="D17" s="154"/>
      <c r="E17" s="155"/>
      <c r="F17" s="156" t="str">
        <f>IF(★計算基準!C37=0,"",IF(VLOOKUP("○",★計算基準!G47:J50,4,FALSE)=0,"","減額："))</f>
        <v/>
      </c>
      <c r="G17" s="160" t="str">
        <f>IF(★計算基準!C37=0,"",IF(VLOOKUP("○",★計算基準!G47:J50,4,FALSE)=0,"",VLOOKUP("○",★計算基準!G47:J50,4,FALSE)))</f>
        <v/>
      </c>
      <c r="H17" s="15"/>
      <c r="I17" s="161" t="str">
        <f>IF(★計算基準!C37=0,"",IF(VLOOKUP("○",★計算基準!G47:J50,4,FALSE)=0,"",0-★計算基準!B34/K16))</f>
        <v/>
      </c>
      <c r="J17" s="15" t="str">
        <f>IF(★計算基準!C37=0,"",IF(VLOOKUP("○",★計算基準!G47:J50,4,FALSE)=0,"","×"))</f>
        <v/>
      </c>
      <c r="K17" s="157" t="str">
        <f>IF(★計算基準!C37=0,"",IF(VLOOKUP("○",★計算基準!G47:J50,4,FALSE)=0,"",★計算基準!C37))</f>
        <v/>
      </c>
      <c r="L17" s="15" t="str">
        <f>IF(★計算基準!C37=0,"",IF(VLOOKUP("○",★計算基準!G47:J50,4,FALSE)=0,"","＝"))</f>
        <v/>
      </c>
      <c r="M17" s="525" t="str">
        <f>IF(★計算基準!C37=0,"",IF(VLOOKUP("○",★計算基準!G47:J50,4,FALSE)=0,"",I17*K17))</f>
        <v/>
      </c>
      <c r="N17" s="525"/>
      <c r="P17" s="152">
        <f>IF(AND(M17="",M18=""),M16,IF(M17="",M16+M18,IF(M18="",M16+M17,M16+M17+M18)))</f>
        <v>19800</v>
      </c>
      <c r="Q17" s="151"/>
      <c r="R17" s="165" t="s">
        <v>118</v>
      </c>
      <c r="S17" s="14"/>
    </row>
    <row r="18" spans="2:25" ht="23.1" customHeight="1">
      <c r="C18" s="500"/>
      <c r="D18" s="202"/>
      <c r="E18" s="203"/>
      <c r="F18" s="204" t="str">
        <f>IF(★計算基準!G43=0,"","未就学児にかかる減額：")</f>
        <v/>
      </c>
      <c r="G18" s="205" t="str">
        <f>IF(★計算基準!G43=0,"","1人につき")</f>
        <v/>
      </c>
      <c r="H18" s="206"/>
      <c r="I18" s="176" t="str">
        <f>IF(★計算基準!G43=0,"",-★計算基準!H43/★計算基準!G43)</f>
        <v/>
      </c>
      <c r="J18" s="207" t="str">
        <f>IF(★計算基準!G43=0,"","×")</f>
        <v/>
      </c>
      <c r="K18" s="208" t="str">
        <f>IF(★計算基準!G43=0,"",★計算基準!G43)</f>
        <v/>
      </c>
      <c r="L18" s="206" t="str">
        <f>IF(★計算基準!G43=0,"","＝")</f>
        <v/>
      </c>
      <c r="M18" s="502" t="str">
        <f>IF(★計算基準!H43=0,"",-★計算基準!H43)</f>
        <v/>
      </c>
      <c r="N18" s="504" t="str">
        <f>IF(★計算基準!L43=0,"",★計算基準!L43)</f>
        <v/>
      </c>
      <c r="P18" s="180"/>
      <c r="Q18"/>
      <c r="R18"/>
      <c r="S18" s="14"/>
      <c r="W18" s="158"/>
    </row>
    <row r="19" spans="2:25" ht="5.0999999999999996" customHeight="1">
      <c r="C19" s="201"/>
      <c r="D19" s="138"/>
      <c r="E19" s="40"/>
      <c r="F19" s="39"/>
      <c r="G19" s="41"/>
      <c r="H19" s="39"/>
      <c r="I19" s="42"/>
      <c r="J19" s="41"/>
      <c r="K19" s="39"/>
      <c r="L19" s="41"/>
      <c r="M19" s="41"/>
      <c r="N19" s="41"/>
      <c r="O19" s="41"/>
      <c r="P19" s="41"/>
      <c r="Q19" s="41"/>
      <c r="R19" s="41"/>
      <c r="S19" s="43"/>
    </row>
    <row r="20" spans="2:25" ht="5.0999999999999996" customHeight="1">
      <c r="C20" s="179"/>
      <c r="D20" s="133"/>
      <c r="E20" s="50"/>
      <c r="I20" s="51"/>
      <c r="K20" s="10"/>
      <c r="S20" s="14"/>
    </row>
    <row r="21" spans="2:25" ht="23.1" customHeight="1">
      <c r="C21" s="497" t="s">
        <v>130</v>
      </c>
      <c r="D21" s="182"/>
      <c r="E21" s="183"/>
      <c r="F21" s="184"/>
      <c r="G21" s="209" t="s">
        <v>43</v>
      </c>
      <c r="H21" s="210"/>
      <c r="I21" s="211">
        <f>★計算基準!F12</f>
        <v>13900</v>
      </c>
      <c r="J21" s="212"/>
      <c r="K21" s="213"/>
      <c r="L21" s="212"/>
      <c r="M21" s="523">
        <f>IF(★計算基準!C37=0,"",★計算基準!F12)</f>
        <v>13900</v>
      </c>
      <c r="N21" s="523"/>
      <c r="P21" s="501">
        <f>IF(AND(M21="",M22=""),0,IF(M22="",M21,M21+M22))</f>
        <v>13900</v>
      </c>
      <c r="Q21" s="151"/>
      <c r="R21" s="503" t="s">
        <v>117</v>
      </c>
      <c r="S21" s="14"/>
    </row>
    <row r="22" spans="2:25" ht="22.5" customHeight="1">
      <c r="C22" s="498"/>
      <c r="D22" s="154"/>
      <c r="E22" s="155"/>
      <c r="F22" s="156" t="str">
        <f>IF(★計算基準!C37=0,"",IF(VLOOKUP("○",★計算基準!G47:J50,4,FALSE)=0,"","減額："))</f>
        <v/>
      </c>
      <c r="G22" s="160" t="str">
        <f>IF(★計算基準!C37=0,"",IF(VLOOKUP("○",★計算基準!G47:J50,4,FALSE)=0,"",VLOOKUP("○",★計算基準!G47:J50,4,FALSE)))</f>
        <v/>
      </c>
      <c r="H22" s="15"/>
      <c r="I22" s="18" t="str">
        <f>IF(★計算基準!C37=0,"",IF(VLOOKUP("○",★計算基準!G47:J50,4,FALSE)=0,"",0-★計算基準!C34))</f>
        <v/>
      </c>
      <c r="J22" s="44"/>
      <c r="K22" s="181"/>
      <c r="L22" s="44"/>
      <c r="M22" s="502" t="str">
        <f>IF(★計算基準!C37=0,"",IF(VLOOKUP("○",★計算基準!G47:J50,4,FALSE)=0,"",0-★計算基準!C34))</f>
        <v/>
      </c>
      <c r="N22" s="502"/>
      <c r="P22" s="501"/>
      <c r="Q22" s="151"/>
      <c r="R22" s="437"/>
      <c r="S22" s="14"/>
    </row>
    <row r="23" spans="2:25" ht="4.5" customHeight="1" thickBot="1">
      <c r="C23" s="214"/>
      <c r="D23" s="215"/>
      <c r="E23" s="216"/>
      <c r="F23" s="217"/>
      <c r="G23" s="218"/>
      <c r="H23" s="217"/>
      <c r="I23" s="219"/>
      <c r="J23" s="218"/>
      <c r="K23" s="217"/>
      <c r="L23" s="218"/>
      <c r="M23" s="218"/>
      <c r="N23" s="218"/>
      <c r="O23" s="218"/>
      <c r="P23" s="218"/>
      <c r="Q23" s="218"/>
      <c r="R23" s="218"/>
      <c r="S23" s="220"/>
    </row>
    <row r="24" spans="2:25" ht="31.5" hidden="1" customHeight="1" thickTop="1" thickBot="1">
      <c r="C24" s="127" t="str">
        <f>IF(★計算基準!I34=0,"","   多子世帯減免額")</f>
        <v xml:space="preserve">   多子世帯減免額</v>
      </c>
      <c r="D24" s="128"/>
      <c r="E24" s="131"/>
      <c r="F24" s="122"/>
      <c r="G24" s="122"/>
      <c r="H24" s="123"/>
      <c r="I24" s="167"/>
      <c r="J24" s="166"/>
      <c r="K24" s="526">
        <v>0</v>
      </c>
      <c r="L24" s="527"/>
      <c r="M24" s="124"/>
      <c r="N24" s="122"/>
      <c r="O24" s="122"/>
      <c r="P24" s="122"/>
      <c r="Q24" s="145"/>
      <c r="R24" s="125" t="str">
        <f>IF(C24="","","　… (エ)")</f>
        <v>　… (エ)</v>
      </c>
      <c r="S24" s="119"/>
      <c r="Y24" s="169" t="s">
        <v>121</v>
      </c>
    </row>
    <row r="25" spans="2:25" ht="31.5" customHeight="1" thickTop="1" thickBot="1">
      <c r="C25" s="172" t="s">
        <v>135</v>
      </c>
      <c r="D25" s="174"/>
      <c r="E25" s="129"/>
      <c r="F25" s="122" t="str">
        <f>" 賦課限度額 "&amp;TEXT(★計算基準!G12/10000,"（#,##0万円）")</f>
        <v xml:space="preserve"> 賦課限度額 (67万円)</v>
      </c>
      <c r="G25" s="122"/>
      <c r="H25" s="123"/>
      <c r="I25" s="526">
        <f>IF(ROUNDDOWN(SUM(P10:P22)-MAX(K24,0),-2)&gt;=★計算基準!G12,★計算基準!G12,ROUNDDOWN(SUM(P10:P22)-MAX(K24,0),-2))</f>
        <v>92800</v>
      </c>
      <c r="J25" s="526"/>
      <c r="K25" s="526"/>
      <c r="L25" s="526"/>
      <c r="M25" s="124" t="s">
        <v>52</v>
      </c>
      <c r="N25" s="122"/>
      <c r="O25" s="122"/>
      <c r="P25" s="122"/>
      <c r="Q25" s="145"/>
      <c r="R25" s="125" t="s">
        <v>124</v>
      </c>
      <c r="S25" s="119"/>
      <c r="Y25" s="169"/>
    </row>
    <row r="26" spans="2:25" ht="24.95" customHeight="1" thickTop="1"/>
    <row r="27" spans="2:25" ht="20.100000000000001" customHeight="1">
      <c r="B27" s="3"/>
      <c r="G27" s="11" t="str">
        <f>IF(AND(G30="",G31="",G32="",G33="",G34="",G35=""),"",IF(OR(G30&lt;430000,G31&lt;430000,G32&lt;430000,G33&lt;430000,G34&lt;430000,G35&lt;430000),"※総所得金額が43万円未満の方の基礎控除額は、総所得金額と同額となります。",""))</f>
        <v/>
      </c>
    </row>
    <row r="28" spans="2:25" ht="22.5" customHeight="1">
      <c r="C28" s="509" t="s">
        <v>54</v>
      </c>
      <c r="D28" s="132"/>
      <c r="E28" s="505" t="s">
        <v>32</v>
      </c>
      <c r="F28" s="505"/>
      <c r="G28" s="495" t="s">
        <v>114</v>
      </c>
      <c r="H28" s="507"/>
      <c r="I28" s="495" t="s">
        <v>56</v>
      </c>
      <c r="J28" s="516"/>
      <c r="K28" s="495" t="s">
        <v>14</v>
      </c>
      <c r="L28" s="513"/>
      <c r="M28" s="513" t="s">
        <v>60</v>
      </c>
      <c r="N28" s="12"/>
      <c r="O28" s="12"/>
      <c r="P28" s="12"/>
      <c r="Q28" s="12"/>
      <c r="R28" s="12"/>
      <c r="S28" s="13"/>
    </row>
    <row r="29" spans="2:25" ht="22.5" customHeight="1">
      <c r="C29" s="510"/>
      <c r="D29" s="133"/>
      <c r="E29" s="506"/>
      <c r="F29" s="506"/>
      <c r="G29" s="496"/>
      <c r="H29" s="508"/>
      <c r="I29" s="517"/>
      <c r="J29" s="496"/>
      <c r="K29" s="517"/>
      <c r="L29" s="515"/>
      <c r="M29" s="515"/>
      <c r="S29" s="14"/>
    </row>
    <row r="30" spans="2:25" ht="22.5" customHeight="1">
      <c r="C30" s="510"/>
      <c r="D30" s="134" t="str">
        <f>IF(★計算基準!D19=0,"","世帯主")</f>
        <v>世帯主</v>
      </c>
      <c r="E30" s="16">
        <f>IF(★計算基準!L19=0,"",IF(★計算基準!D19=0,"",★計算基準!L19))</f>
        <v>1320000</v>
      </c>
      <c r="F30" s="17" t="str">
        <f>IF(E30="","","－")</f>
        <v>－</v>
      </c>
      <c r="G30" s="18">
        <f>IF(E8="","",IF(E8&lt;=★計算基準!H12,E8,430000))</f>
        <v>430000</v>
      </c>
      <c r="H30" s="15" t="str">
        <f t="shared" ref="H30:H35" si="3">IF(E30="","","＝")</f>
        <v>＝</v>
      </c>
      <c r="I30" s="18">
        <f>IF(E8="","",IF(E30=0,"",E30-G30))</f>
        <v>890000</v>
      </c>
      <c r="J30" s="15"/>
      <c r="K30" s="19"/>
      <c r="L30" s="20"/>
      <c r="M30" s="546">
        <f>★計算基準!C13</f>
        <v>3.1099999999999999E-2</v>
      </c>
      <c r="N30" s="44"/>
      <c r="S30" s="14"/>
    </row>
    <row r="31" spans="2:25" ht="22.5" customHeight="1">
      <c r="C31" s="510"/>
      <c r="D31" s="135" t="str">
        <f>IF(★計算基準!D20=0,"","加入者1")</f>
        <v/>
      </c>
      <c r="E31" s="45" t="str">
        <f>IF(★計算基準!L20=0,"",★計算基準!L20)</f>
        <v/>
      </c>
      <c r="F31" s="24" t="str">
        <f t="shared" ref="F31:F35" si="4">IF(E31="","","－")</f>
        <v/>
      </c>
      <c r="G31" s="25" t="str">
        <f>IF(E9="","",IF(E9&lt;=★計算基準!H12,E9,430000))</f>
        <v/>
      </c>
      <c r="H31" s="22" t="str">
        <f t="shared" si="3"/>
        <v/>
      </c>
      <c r="I31" s="25" t="str">
        <f>IF(E9="","",IF(E31=0,"",E31-G31))</f>
        <v/>
      </c>
      <c r="J31" s="22"/>
      <c r="K31" s="26"/>
      <c r="L31" s="22"/>
      <c r="M31" s="519"/>
      <c r="N31" s="27"/>
      <c r="S31" s="14"/>
    </row>
    <row r="32" spans="2:25" ht="22.5" customHeight="1">
      <c r="C32" s="510"/>
      <c r="D32" s="134" t="str">
        <f>IF(★計算基準!D21=0,"","加入者2")</f>
        <v/>
      </c>
      <c r="E32" s="16" t="str">
        <f>IF(★計算基準!L21=0,"",★計算基準!L21)</f>
        <v/>
      </c>
      <c r="F32" s="17" t="str">
        <f t="shared" si="4"/>
        <v/>
      </c>
      <c r="G32" s="18" t="str">
        <f>IF(E10="","",IF(E10&lt;=★計算基準!H12,E10,430000))</f>
        <v/>
      </c>
      <c r="H32" s="15" t="str">
        <f t="shared" si="3"/>
        <v/>
      </c>
      <c r="I32" s="18" t="str">
        <f t="shared" ref="I32:I35" si="5">IF(E10="","",IF(E32=0,"",E32-G32))</f>
        <v/>
      </c>
      <c r="J32" s="46"/>
      <c r="K32" s="540">
        <f>SUM(I30:I35)</f>
        <v>890000</v>
      </c>
      <c r="L32" s="47"/>
      <c r="M32" s="519"/>
      <c r="N32" s="34"/>
      <c r="P32" s="501">
        <f>ROUNDDOWN(K32*M30,0)</f>
        <v>27679</v>
      </c>
      <c r="Q32" s="151"/>
      <c r="R32" s="503" t="s">
        <v>119</v>
      </c>
      <c r="S32" s="14"/>
    </row>
    <row r="33" spans="3:23" ht="22.5" customHeight="1">
      <c r="C33" s="510"/>
      <c r="D33" s="135" t="str">
        <f>IF(★計算基準!D22=0,"","加入者3")</f>
        <v/>
      </c>
      <c r="E33" s="45" t="str">
        <f>IF(★計算基準!L22=0,"",★計算基準!L22)</f>
        <v/>
      </c>
      <c r="F33" s="24" t="str">
        <f t="shared" si="4"/>
        <v/>
      </c>
      <c r="G33" s="25" t="str">
        <f>IF(E11="","",IF(E11&lt;=★計算基準!H12,E11,430000))</f>
        <v/>
      </c>
      <c r="H33" s="22" t="str">
        <f t="shared" si="3"/>
        <v/>
      </c>
      <c r="I33" s="25" t="str">
        <f t="shared" si="5"/>
        <v/>
      </c>
      <c r="J33" s="48"/>
      <c r="K33" s="541"/>
      <c r="L33" s="49"/>
      <c r="M33" s="519"/>
      <c r="N33" s="27"/>
      <c r="P33" s="501"/>
      <c r="Q33" s="151"/>
      <c r="R33" s="437"/>
      <c r="S33" s="14"/>
    </row>
    <row r="34" spans="3:23" ht="22.5" customHeight="1">
      <c r="C34" s="510"/>
      <c r="D34" s="134" t="str">
        <f>IF(★計算基準!D23=0,"","加入者4")</f>
        <v/>
      </c>
      <c r="E34" s="16" t="str">
        <f>IF(★計算基準!L23=0,"",★計算基準!L23)</f>
        <v/>
      </c>
      <c r="F34" s="17" t="str">
        <f t="shared" si="4"/>
        <v/>
      </c>
      <c r="G34" s="18" t="str">
        <f>IF(E12="","",IF(E12&lt;=★計算基準!H12,E12,430000))</f>
        <v/>
      </c>
      <c r="H34" s="15" t="str">
        <f t="shared" si="3"/>
        <v/>
      </c>
      <c r="I34" s="18" t="str">
        <f t="shared" si="5"/>
        <v/>
      </c>
      <c r="J34" s="15"/>
      <c r="K34" s="21"/>
      <c r="L34" s="15"/>
      <c r="M34" s="519"/>
      <c r="N34" s="34"/>
      <c r="S34" s="14"/>
    </row>
    <row r="35" spans="3:23" ht="22.5" customHeight="1">
      <c r="C35" s="510"/>
      <c r="D35" s="195" t="str">
        <f>IF(★計算基準!D24=0,"","加入者5")</f>
        <v/>
      </c>
      <c r="E35" s="221" t="str">
        <f>IF(★計算基準!L24=0,"",★計算基準!L24)</f>
        <v/>
      </c>
      <c r="F35" s="197" t="str">
        <f t="shared" si="4"/>
        <v/>
      </c>
      <c r="G35" s="222" t="str">
        <f>IF(E13="","",IF(E13&lt;=★計算基準!H12,E13,430000))</f>
        <v/>
      </c>
      <c r="H35" s="199" t="str">
        <f t="shared" si="3"/>
        <v/>
      </c>
      <c r="I35" s="222" t="str">
        <f t="shared" si="5"/>
        <v/>
      </c>
      <c r="J35" s="199"/>
      <c r="K35" s="26"/>
      <c r="L35" s="199"/>
      <c r="M35" s="520"/>
      <c r="N35" s="200"/>
      <c r="S35" s="14"/>
    </row>
    <row r="36" spans="3:23" ht="5.0999999999999996" customHeight="1">
      <c r="C36" s="511"/>
      <c r="D36" s="133"/>
      <c r="E36" s="50"/>
      <c r="I36" s="51"/>
      <c r="K36" s="10"/>
      <c r="S36" s="14"/>
    </row>
    <row r="37" spans="3:23" ht="4.5" customHeight="1">
      <c r="C37" s="226"/>
      <c r="D37" s="227"/>
      <c r="E37" s="228"/>
      <c r="F37" s="229"/>
      <c r="G37" s="230"/>
      <c r="H37" s="229"/>
      <c r="I37" s="231"/>
      <c r="J37" s="230"/>
      <c r="K37" s="229"/>
      <c r="L37" s="230"/>
      <c r="M37" s="230"/>
      <c r="N37" s="230"/>
      <c r="O37" s="230"/>
      <c r="P37" s="230"/>
      <c r="Q37" s="230"/>
      <c r="R37" s="230"/>
      <c r="S37" s="232"/>
    </row>
    <row r="38" spans="3:23" ht="22.5" customHeight="1">
      <c r="C38" s="512" t="s">
        <v>55</v>
      </c>
      <c r="D38" s="223"/>
      <c r="E38" s="224"/>
      <c r="F38" s="210"/>
      <c r="G38" s="209" t="s">
        <v>42</v>
      </c>
      <c r="H38" s="210"/>
      <c r="I38" s="211">
        <f>★計算基準!D13</f>
        <v>9000</v>
      </c>
      <c r="J38" s="210" t="s">
        <v>58</v>
      </c>
      <c r="K38" s="225">
        <f>★計算基準!C37</f>
        <v>1</v>
      </c>
      <c r="L38" s="210" t="s">
        <v>57</v>
      </c>
      <c r="M38" s="523">
        <f>I38*K38</f>
        <v>9000</v>
      </c>
      <c r="N38" s="523"/>
      <c r="P38" s="152"/>
      <c r="Q38" s="151"/>
      <c r="R38" s="151"/>
      <c r="S38" s="14"/>
    </row>
    <row r="39" spans="3:23" ht="22.5" customHeight="1">
      <c r="C39" s="512"/>
      <c r="D39" s="154"/>
      <c r="E39" s="155"/>
      <c r="F39" s="156" t="str">
        <f>IF(★計算基準!C37=0,"",IF(VLOOKUP("○",★計算基準!G47:J50,4,FALSE)=0,"","減額："))</f>
        <v/>
      </c>
      <c r="G39" s="160" t="str">
        <f>IF(★計算基準!C37=0,"",IF(VLOOKUP("○",★計算基準!G47:J50,4,FALSE)=0,"",VLOOKUP("○",★計算基準!G47:J50,4,FALSE)))</f>
        <v/>
      </c>
      <c r="H39" s="15"/>
      <c r="I39" s="18" t="str">
        <f>IF(★計算基準!C37=0,"",IF(VLOOKUP("○",★計算基準!G47:J50,4,FALSE)=0,"",0-★計算基準!D34/K39))</f>
        <v/>
      </c>
      <c r="J39" s="15" t="str">
        <f>IF(★計算基準!C37=0,"",IF(VLOOKUP("○",★計算基準!G47:J50,4,FALSE)=0,"","×"))</f>
        <v/>
      </c>
      <c r="K39" s="157" t="str">
        <f>IF(★計算基準!C37=0,"",IF(VLOOKUP("○",★計算基準!G47:J50,4,FALSE)=0,"",★計算基準!C37))</f>
        <v/>
      </c>
      <c r="L39" s="15" t="str">
        <f>IF(★計算基準!C37=0,"",IF(VLOOKUP("○",★計算基準!G47:J50,4,FALSE)=0,"","＝"))</f>
        <v/>
      </c>
      <c r="M39" s="502" t="str">
        <f>IF(★計算基準!C37=0,"",IF(VLOOKUP("○",★計算基準!G47:J50,4,FALSE)=0,"",I39*K39))</f>
        <v/>
      </c>
      <c r="N39" s="502"/>
      <c r="P39" s="152">
        <f>IF(AND(M39="",M40=""),M38,IF(M39="",M38+M40,IF(M40="",M38+M39,M38+M39+M40)))</f>
        <v>9000</v>
      </c>
      <c r="Q39" s="151"/>
      <c r="R39" s="165" t="s">
        <v>118</v>
      </c>
      <c r="S39" s="14"/>
    </row>
    <row r="40" spans="3:23" ht="22.5" customHeight="1">
      <c r="C40" s="500"/>
      <c r="D40" s="202"/>
      <c r="E40" s="203"/>
      <c r="F40" s="204" t="str">
        <f>F18</f>
        <v/>
      </c>
      <c r="G40" s="205" t="str">
        <f>G18</f>
        <v/>
      </c>
      <c r="H40" s="206"/>
      <c r="I40" s="176" t="str">
        <f>IF(★計算基準!G43=0,"",-★計算基準!I43/★計算基準!G43)</f>
        <v/>
      </c>
      <c r="J40" s="207" t="str">
        <f>J18</f>
        <v/>
      </c>
      <c r="K40" s="208" t="str">
        <f>K18</f>
        <v/>
      </c>
      <c r="L40" s="206" t="str">
        <f>L18</f>
        <v/>
      </c>
      <c r="M40" s="502" t="str">
        <f>IF(★計算基準!I43=0,"",-★計算基準!I43)</f>
        <v/>
      </c>
      <c r="N40" s="504" t="str">
        <f>IF(★計算基準!K62=0,"",★計算基準!K62)</f>
        <v/>
      </c>
      <c r="P40" s="180"/>
      <c r="Q40" s="151"/>
      <c r="R40" s="151"/>
      <c r="S40" s="14"/>
      <c r="W40" s="158"/>
    </row>
    <row r="41" spans="3:23" ht="5.0999999999999996" customHeight="1">
      <c r="C41" s="233"/>
      <c r="D41" s="138"/>
      <c r="E41" s="40"/>
      <c r="F41" s="39"/>
      <c r="G41" s="41"/>
      <c r="H41" s="39"/>
      <c r="I41" s="42"/>
      <c r="J41" s="41"/>
      <c r="K41" s="39"/>
      <c r="L41" s="41"/>
      <c r="M41" s="41"/>
      <c r="N41" s="41"/>
      <c r="O41" s="41"/>
      <c r="P41" s="41"/>
      <c r="Q41" s="41"/>
      <c r="R41" s="41"/>
      <c r="S41" s="43"/>
    </row>
    <row r="42" spans="3:23" ht="5.0999999999999996" customHeight="1">
      <c r="C42" s="234"/>
      <c r="D42" s="227"/>
      <c r="E42" s="228"/>
      <c r="F42" s="229"/>
      <c r="G42" s="230"/>
      <c r="H42" s="229"/>
      <c r="I42" s="231"/>
      <c r="J42" s="230"/>
      <c r="K42" s="229"/>
      <c r="L42" s="230"/>
      <c r="M42" s="230"/>
      <c r="N42" s="230"/>
      <c r="O42" s="230"/>
      <c r="P42" s="230"/>
      <c r="Q42" s="230"/>
      <c r="R42" s="230"/>
      <c r="S42" s="232"/>
    </row>
    <row r="43" spans="3:23" ht="22.5" customHeight="1">
      <c r="C43" s="543" t="s">
        <v>130</v>
      </c>
      <c r="D43" s="223"/>
      <c r="E43" s="224"/>
      <c r="F43" s="210"/>
      <c r="G43" s="209" t="s">
        <v>43</v>
      </c>
      <c r="H43" s="210"/>
      <c r="I43" s="211">
        <f>★計算基準!F13</f>
        <v>6300</v>
      </c>
      <c r="J43" s="212"/>
      <c r="K43" s="213"/>
      <c r="L43" s="212"/>
      <c r="M43" s="523">
        <f>IF(★計算基準!C37=0,"",★計算基準!F13)</f>
        <v>6300</v>
      </c>
      <c r="N43" s="523"/>
      <c r="P43" s="501">
        <f>IF(AND(M43="",M44=""),0,IF(M44="",M43,M43+M44))</f>
        <v>6300</v>
      </c>
      <c r="Q43" s="151"/>
      <c r="R43" s="503" t="s">
        <v>117</v>
      </c>
      <c r="S43" s="14"/>
    </row>
    <row r="44" spans="3:23" ht="22.5" customHeight="1">
      <c r="C44" s="544"/>
      <c r="D44" s="154"/>
      <c r="E44" s="155"/>
      <c r="F44" s="156" t="str">
        <f>IF(★計算基準!C37=0,"",IF(VLOOKUP("○",★計算基準!G47:J50,4,FALSE)=0,"","減額："))</f>
        <v/>
      </c>
      <c r="G44" s="160" t="str">
        <f>IF(★計算基準!C37=0,"",IF(VLOOKUP("○",★計算基準!G47:J50,4,FALSE)=0,"",VLOOKUP("○",★計算基準!G47:J50,4,FALSE)))</f>
        <v/>
      </c>
      <c r="H44" s="15"/>
      <c r="I44" s="18" t="str">
        <f>IF(★計算基準!C37=0,"",IF(VLOOKUP("○",★計算基準!G47:J50,4,FALSE)=0,"",0-★計算基準!E34))</f>
        <v/>
      </c>
      <c r="J44" s="44"/>
      <c r="K44" s="181"/>
      <c r="L44" s="44"/>
      <c r="M44" s="547" t="str">
        <f>IF(★計算基準!C37=0,"",IF(VLOOKUP("○",★計算基準!G47:J50,4,FALSE)=0,"",0-★計算基準!E34))</f>
        <v/>
      </c>
      <c r="N44" s="547"/>
      <c r="P44" s="501"/>
      <c r="Q44" s="151"/>
      <c r="R44" s="437"/>
      <c r="S44" s="14"/>
    </row>
    <row r="45" spans="3:23" ht="4.5" customHeight="1" thickBot="1">
      <c r="C45" s="235"/>
      <c r="D45" s="215"/>
      <c r="E45" s="216"/>
      <c r="F45" s="217"/>
      <c r="G45" s="218"/>
      <c r="H45" s="217"/>
      <c r="I45" s="219"/>
      <c r="J45" s="218"/>
      <c r="K45" s="217"/>
      <c r="L45" s="218"/>
      <c r="M45" s="218"/>
      <c r="N45" s="218"/>
      <c r="O45" s="218"/>
      <c r="P45" s="218"/>
      <c r="Q45" s="218"/>
      <c r="R45" s="218"/>
      <c r="S45" s="220"/>
    </row>
    <row r="46" spans="3:23" ht="35.25" hidden="1" customHeight="1" thickTop="1" thickBot="1">
      <c r="C46" s="126" t="str">
        <f>C24</f>
        <v xml:space="preserve">   多子世帯減免額</v>
      </c>
      <c r="D46" s="106"/>
      <c r="E46" s="164"/>
      <c r="F46" s="122"/>
      <c r="G46" s="122"/>
      <c r="H46" s="123"/>
      <c r="I46" s="168"/>
      <c r="J46" s="166"/>
      <c r="K46" s="526">
        <v>0</v>
      </c>
      <c r="L46" s="545"/>
      <c r="M46" s="124"/>
      <c r="N46" s="122"/>
      <c r="O46" s="122"/>
      <c r="P46" s="122"/>
      <c r="Q46" s="145"/>
      <c r="R46" s="125" t="str">
        <f>IF(C46="","","　… (エ)")</f>
        <v>　… (エ)</v>
      </c>
      <c r="S46" s="119"/>
    </row>
    <row r="47" spans="3:23" ht="33" customHeight="1" thickTop="1" thickBot="1">
      <c r="C47" s="171" t="s">
        <v>135</v>
      </c>
      <c r="D47" s="107"/>
      <c r="E47" s="170"/>
      <c r="F47" s="122" t="str">
        <f>" 賦課限度額 "&amp;TEXT(★計算基準!G13/10000,"（#,##0万円）")</f>
        <v xml:space="preserve"> 賦課限度額 (26万円)</v>
      </c>
      <c r="G47" s="122"/>
      <c r="H47" s="123"/>
      <c r="I47" s="542">
        <f>IF(ROUNDDOWN(SUM(P32:P44)-MAX(K46,0),-2)&gt;=★計算基準!G13,★計算基準!G13,ROUNDDOWN(SUM(P32:P44)-MAX(K46,0),-2))</f>
        <v>42900</v>
      </c>
      <c r="J47" s="542"/>
      <c r="K47" s="542"/>
      <c r="L47" s="542"/>
      <c r="M47" s="124" t="s">
        <v>52</v>
      </c>
      <c r="N47" s="122"/>
      <c r="O47" s="122"/>
      <c r="P47" s="122"/>
      <c r="Q47" s="145"/>
      <c r="R47" s="125" t="s">
        <v>123</v>
      </c>
      <c r="S47" s="120"/>
    </row>
    <row r="48" spans="3:23" ht="24.95" customHeight="1" thickTop="1"/>
    <row r="49" spans="2:19" ht="20.100000000000001" customHeight="1">
      <c r="B49" s="3"/>
      <c r="D49" s="53"/>
      <c r="G49" s="11"/>
    </row>
    <row r="50" spans="2:19" ht="22.5" customHeight="1">
      <c r="C50" s="535" t="s">
        <v>54</v>
      </c>
      <c r="D50" s="132"/>
      <c r="E50" s="505" t="s">
        <v>32</v>
      </c>
      <c r="F50" s="505"/>
      <c r="G50" s="495" t="s">
        <v>114</v>
      </c>
      <c r="H50" s="507"/>
      <c r="I50" s="538" t="s">
        <v>115</v>
      </c>
      <c r="J50" s="516"/>
      <c r="K50" s="495" t="s">
        <v>62</v>
      </c>
      <c r="L50" s="513"/>
      <c r="M50" s="513" t="s">
        <v>61</v>
      </c>
      <c r="N50" s="12"/>
      <c r="O50" s="12"/>
      <c r="P50" s="12"/>
      <c r="Q50" s="12"/>
      <c r="R50" s="12"/>
      <c r="S50" s="13"/>
    </row>
    <row r="51" spans="2:19" ht="22.5" customHeight="1">
      <c r="C51" s="536"/>
      <c r="D51" s="139"/>
      <c r="E51" s="537"/>
      <c r="F51" s="506"/>
      <c r="G51" s="496"/>
      <c r="H51" s="508"/>
      <c r="I51" s="539"/>
      <c r="J51" s="496"/>
      <c r="K51" s="517"/>
      <c r="L51" s="515"/>
      <c r="M51" s="514"/>
      <c r="S51" s="14"/>
    </row>
    <row r="52" spans="2:19" ht="22.5" customHeight="1">
      <c r="C52" s="536"/>
      <c r="D52" s="134" t="str">
        <f>IF(★計算基準!E19=0,"","世帯主")</f>
        <v/>
      </c>
      <c r="E52" s="54" t="str">
        <f>IF(★計算基準!A19=1,IF(★計算基準!C19=3,IF(★計算基準!L19=0,"",★計算基準!L19),""),"")</f>
        <v/>
      </c>
      <c r="F52" s="17" t="str">
        <f>IF(E52="","","－")</f>
        <v/>
      </c>
      <c r="G52" s="55" t="str">
        <f>IF(★計算基準!C19=3,IF(E8="","",IF(E8&lt;=★計算基準!H12,E8,430000)),"")</f>
        <v/>
      </c>
      <c r="H52" s="15" t="str">
        <f t="shared" ref="H52:H57" si="6">IF(E52="","","＝")</f>
        <v/>
      </c>
      <c r="I52" s="55" t="str">
        <f t="shared" ref="I52:I57" si="7">IF(E52="","",IF(E52=0,"",E52-G52))</f>
        <v/>
      </c>
      <c r="J52" s="15"/>
      <c r="K52" s="19"/>
      <c r="L52" s="56"/>
      <c r="M52" s="546">
        <f>★計算基準!C14</f>
        <v>2.47E-2</v>
      </c>
      <c r="N52" s="57"/>
      <c r="S52" s="14"/>
    </row>
    <row r="53" spans="2:19" ht="22.5" customHeight="1">
      <c r="C53" s="536"/>
      <c r="D53" s="135" t="str">
        <f>IF(★計算基準!E20=0,"","加入者1")</f>
        <v/>
      </c>
      <c r="E53" s="37" t="str">
        <f>IF(★計算基準!C20=4,IF(★計算基準!L20=0,"",★計算基準!L20),"")</f>
        <v/>
      </c>
      <c r="F53" s="24" t="str">
        <f t="shared" ref="F53:F57" si="8">IF(E53="","","－")</f>
        <v/>
      </c>
      <c r="G53" s="38" t="str">
        <f>IF(★計算基準!C20=4,IF(E9="","",IF(E9&lt;=★計算基準!H12,E9,430000)),"")</f>
        <v/>
      </c>
      <c r="H53" s="22" t="str">
        <f t="shared" si="6"/>
        <v/>
      </c>
      <c r="I53" s="38" t="str">
        <f>IF(E53="","",IF(E53=0,"",E53-G53))</f>
        <v/>
      </c>
      <c r="J53" s="22"/>
      <c r="K53" s="58"/>
      <c r="L53" s="48"/>
      <c r="M53" s="519"/>
      <c r="N53" s="27"/>
      <c r="S53" s="14"/>
    </row>
    <row r="54" spans="2:19" ht="22.5" customHeight="1">
      <c r="C54" s="536"/>
      <c r="D54" s="134" t="str">
        <f>IF(★計算基準!E21=0,"","加入者2")</f>
        <v/>
      </c>
      <c r="E54" s="16" t="str">
        <f>IF(★計算基準!C21=4,IF(★計算基準!L21=0,"",★計算基準!L21),"")</f>
        <v/>
      </c>
      <c r="F54" s="17" t="str">
        <f t="shared" si="8"/>
        <v/>
      </c>
      <c r="G54" s="18" t="str">
        <f>IF(★計算基準!C21=4,IF(E10="","",IF(E10&lt;=★計算基準!H12,E10,430000)),"")</f>
        <v/>
      </c>
      <c r="H54" s="15" t="str">
        <f t="shared" si="6"/>
        <v/>
      </c>
      <c r="I54" s="18" t="str">
        <f t="shared" si="7"/>
        <v/>
      </c>
      <c r="J54" s="46"/>
      <c r="K54" s="540">
        <f>SUM(I52:I57)</f>
        <v>0</v>
      </c>
      <c r="L54" s="59"/>
      <c r="M54" s="519"/>
      <c r="N54" s="34"/>
      <c r="P54" s="501">
        <f>ROUNDDOWN(K54*M52,0)</f>
        <v>0</v>
      </c>
      <c r="Q54" s="554" t="s">
        <v>105</v>
      </c>
      <c r="R54" s="554"/>
      <c r="S54" s="14"/>
    </row>
    <row r="55" spans="2:19" ht="22.5" customHeight="1">
      <c r="C55" s="536"/>
      <c r="D55" s="135" t="str">
        <f>IF(★計算基準!E22=0,"","加入者3")</f>
        <v/>
      </c>
      <c r="E55" s="37" t="str">
        <f>IF(★計算基準!C22=4,IF(★計算基準!L22=0,"",★計算基準!L22),"")</f>
        <v/>
      </c>
      <c r="F55" s="24" t="str">
        <f t="shared" si="8"/>
        <v/>
      </c>
      <c r="G55" s="38" t="str">
        <f>IF(★計算基準!C22=4,IF(E11="","",IF(E11&lt;=★計算基準!H12,E11,430000)),"")</f>
        <v/>
      </c>
      <c r="H55" s="22" t="str">
        <f t="shared" si="6"/>
        <v/>
      </c>
      <c r="I55" s="38" t="str">
        <f t="shared" si="7"/>
        <v/>
      </c>
      <c r="J55" s="48"/>
      <c r="K55" s="541"/>
      <c r="L55" s="60"/>
      <c r="M55" s="519"/>
      <c r="N55" s="27"/>
      <c r="P55" s="501"/>
      <c r="Q55" s="554"/>
      <c r="R55" s="554"/>
      <c r="S55" s="14"/>
    </row>
    <row r="56" spans="2:19" ht="22.5" customHeight="1">
      <c r="C56" s="536"/>
      <c r="D56" s="134" t="str">
        <f>IF(★計算基準!E23=0,"","加入者4")</f>
        <v/>
      </c>
      <c r="E56" s="16" t="str">
        <f>IF(★計算基準!C23=4,IF(★計算基準!L23=0,"",★計算基準!L23),"")</f>
        <v/>
      </c>
      <c r="F56" s="17" t="str">
        <f t="shared" si="8"/>
        <v/>
      </c>
      <c r="G56" s="18" t="str">
        <f>IF(★計算基準!C23=4,IF(E12="","",IF(E12&lt;=★計算基準!H12,E12,430000)),"")</f>
        <v/>
      </c>
      <c r="H56" s="15" t="str">
        <f t="shared" si="6"/>
        <v/>
      </c>
      <c r="I56" s="18" t="str">
        <f t="shared" si="7"/>
        <v/>
      </c>
      <c r="J56" s="15"/>
      <c r="K56" s="61"/>
      <c r="L56" s="32"/>
      <c r="M56" s="519"/>
      <c r="N56" s="34"/>
      <c r="S56" s="14"/>
    </row>
    <row r="57" spans="2:19" ht="22.5" customHeight="1">
      <c r="C57" s="536"/>
      <c r="D57" s="195" t="str">
        <f>IF(★計算基準!E24=0,"","加入者5")</f>
        <v/>
      </c>
      <c r="E57" s="196" t="str">
        <f>IF(★計算基準!C24=4,IF(★計算基準!L24=0,"",★計算基準!L24),"")</f>
        <v/>
      </c>
      <c r="F57" s="197" t="str">
        <f t="shared" si="8"/>
        <v/>
      </c>
      <c r="G57" s="198" t="str">
        <f>IF(★計算基準!C24=4,IF(E13="","",IF(E13&lt;=★計算基準!H12,E13,430000)),"")</f>
        <v/>
      </c>
      <c r="H57" s="199" t="str">
        <f t="shared" si="6"/>
        <v/>
      </c>
      <c r="I57" s="198" t="str">
        <f t="shared" si="7"/>
        <v/>
      </c>
      <c r="J57" s="199"/>
      <c r="K57" s="26"/>
      <c r="L57" s="239"/>
      <c r="M57" s="520"/>
      <c r="N57" s="200"/>
      <c r="S57" s="14"/>
    </row>
    <row r="58" spans="2:19" ht="5.0999999999999996" customHeight="1">
      <c r="C58" s="536"/>
      <c r="D58" s="138"/>
      <c r="E58" s="40"/>
      <c r="F58" s="39"/>
      <c r="G58" s="41"/>
      <c r="H58" s="39"/>
      <c r="I58" s="42"/>
      <c r="J58" s="41"/>
      <c r="K58" s="39"/>
      <c r="L58" s="41"/>
      <c r="N58" s="41"/>
      <c r="S58" s="14"/>
    </row>
    <row r="59" spans="2:19" ht="5.0999999999999996" customHeight="1">
      <c r="C59" s="238"/>
      <c r="D59" s="227"/>
      <c r="E59" s="228"/>
      <c r="F59" s="229"/>
      <c r="G59" s="230"/>
      <c r="H59" s="229"/>
      <c r="I59" s="231"/>
      <c r="J59" s="230"/>
      <c r="K59" s="229"/>
      <c r="L59" s="230"/>
      <c r="M59" s="230"/>
      <c r="N59" s="230"/>
      <c r="O59" s="230"/>
      <c r="P59" s="230"/>
      <c r="Q59" s="230"/>
      <c r="R59" s="230"/>
      <c r="S59" s="232"/>
    </row>
    <row r="60" spans="2:19" ht="22.5" customHeight="1">
      <c r="C60" s="533" t="s">
        <v>55</v>
      </c>
      <c r="D60" s="133"/>
      <c r="E60" s="62"/>
      <c r="G60" s="236" t="s">
        <v>42</v>
      </c>
      <c r="I60" s="162">
        <f>★計算基準!D14</f>
        <v>8800</v>
      </c>
      <c r="J60" s="10" t="s">
        <v>58</v>
      </c>
      <c r="K60" s="237">
        <f>★計算基準!C38</f>
        <v>0</v>
      </c>
      <c r="L60" s="10" t="s">
        <v>57</v>
      </c>
      <c r="M60" s="523">
        <f>I60*K60</f>
        <v>0</v>
      </c>
      <c r="N60" s="523"/>
      <c r="P60" s="501">
        <f>IF(M61="",M60,M60+M61)</f>
        <v>0</v>
      </c>
      <c r="Q60" s="554" t="s">
        <v>104</v>
      </c>
      <c r="R60" s="554"/>
      <c r="S60" s="14"/>
    </row>
    <row r="61" spans="2:19" ht="22.5" customHeight="1">
      <c r="C61" s="534"/>
      <c r="D61" s="202"/>
      <c r="E61" s="203"/>
      <c r="F61" s="204" t="str">
        <f>IF(★計算基準!C38=0,"",IF(VLOOKUP("○",★計算基準!G47:J50,4,FALSE)=0,"","減額："))</f>
        <v/>
      </c>
      <c r="G61" s="240" t="str">
        <f>IF(★計算基準!C38=0,"",IF(VLOOKUP("○",★計算基準!G47:J50,4,FALSE)=0,"",VLOOKUP("○",★計算基準!G47:J50,4,FALSE)))</f>
        <v/>
      </c>
      <c r="H61" s="206"/>
      <c r="I61" s="241" t="str">
        <f>IF(★計算基準!C38=0,"",IF(VLOOKUP("○",★計算基準!G47:J50,4,FALSE)=0,"",0-★計算基準!F34/K61))</f>
        <v/>
      </c>
      <c r="J61" s="206" t="str">
        <f>IF(★計算基準!C38=0,"",IF(VLOOKUP("○",★計算基準!G47:J50,4,FALSE)=0,"","×"))</f>
        <v/>
      </c>
      <c r="K61" s="208" t="str">
        <f>IF(★計算基準!C38=0,"",IF(VLOOKUP("○",★計算基準!G47:J50,4,FALSE)=0,"",★計算基準!C38))</f>
        <v/>
      </c>
      <c r="L61" s="206" t="str">
        <f>IF(★計算基準!C38=0,"",IF(VLOOKUP("○",★計算基準!G47:J50,4,FALSE)=0,"","＝"))</f>
        <v/>
      </c>
      <c r="M61" s="502" t="str">
        <f>IF(★計算基準!C38=0,"",IF(VLOOKUP("○",★計算基準!G47:J50,4,FALSE)=0,"",I61*K61))</f>
        <v/>
      </c>
      <c r="N61" s="502"/>
      <c r="P61" s="501"/>
      <c r="Q61" s="554"/>
      <c r="R61" s="554"/>
      <c r="S61" s="14"/>
    </row>
    <row r="62" spans="2:19" ht="5.0999999999999996" customHeight="1">
      <c r="C62" s="178"/>
      <c r="D62" s="138"/>
      <c r="E62" s="40"/>
      <c r="F62" s="39"/>
      <c r="G62" s="41"/>
      <c r="H62" s="39"/>
      <c r="I62" s="42"/>
      <c r="J62" s="41"/>
      <c r="K62" s="39"/>
      <c r="L62" s="41"/>
      <c r="M62" s="41"/>
      <c r="N62" s="41"/>
      <c r="O62" s="41"/>
      <c r="P62" s="41"/>
      <c r="Q62" s="41"/>
      <c r="R62" s="41"/>
      <c r="S62" s="43"/>
    </row>
    <row r="63" spans="2:19" ht="5.0999999999999996" customHeight="1">
      <c r="C63" s="177"/>
      <c r="D63" s="133"/>
      <c r="E63" s="50"/>
      <c r="I63" s="51"/>
      <c r="K63" s="10"/>
      <c r="S63" s="14"/>
    </row>
    <row r="64" spans="2:19" ht="22.5" customHeight="1">
      <c r="C64" s="531" t="s">
        <v>130</v>
      </c>
      <c r="D64" s="133"/>
      <c r="E64" s="62"/>
      <c r="G64" s="236" t="s">
        <v>43</v>
      </c>
      <c r="I64" s="162">
        <f>★計算基準!F14</f>
        <v>4500</v>
      </c>
      <c r="K64" s="63"/>
      <c r="M64" s="523" t="str">
        <f>IF(★計算基準!C38=0,"",I64)</f>
        <v/>
      </c>
      <c r="N64" s="523"/>
      <c r="P64" s="501">
        <f>IF(AND(M64="",M65=""),0,IF(M65="",M64,M64+M65))</f>
        <v>0</v>
      </c>
      <c r="Q64" s="554" t="s">
        <v>103</v>
      </c>
      <c r="R64" s="554"/>
      <c r="S64" s="14"/>
    </row>
    <row r="65" spans="2:19" ht="22.5" customHeight="1">
      <c r="C65" s="532"/>
      <c r="D65" s="202"/>
      <c r="E65" s="203"/>
      <c r="F65" s="204" t="str">
        <f>IF(★計算基準!C38=0,"",IF(VLOOKUP("○",★計算基準!G47:J50,4,FALSE)=0,"","減額："))</f>
        <v/>
      </c>
      <c r="G65" s="240" t="str">
        <f>IF(★計算基準!C38=0,"",IF(VLOOKUP("○",★計算基準!G47:J50,4,FALSE)=0,"",VLOOKUP("○",★計算基準!G47:J50,4,FALSE)))</f>
        <v/>
      </c>
      <c r="H65" s="206"/>
      <c r="I65" s="241" t="str">
        <f>IF(★計算基準!C38=0,"",IF(VLOOKUP("○",★計算基準!G47:J50,4,FALSE)=0,"",0-★計算基準!G34))</f>
        <v/>
      </c>
      <c r="J65" s="242"/>
      <c r="K65" s="243"/>
      <c r="L65" s="242"/>
      <c r="M65" s="502" t="str">
        <f>IF(★計算基準!C38=0,"",IF(VLOOKUP("○",★計算基準!G47:J50,4,FALSE)=0,"",0-★計算基準!G34))</f>
        <v/>
      </c>
      <c r="N65" s="502"/>
      <c r="P65" s="501"/>
      <c r="Q65" s="554"/>
      <c r="R65" s="554"/>
      <c r="S65" s="14"/>
    </row>
    <row r="66" spans="2:19" ht="5.0999999999999996" customHeight="1" thickBot="1">
      <c r="C66" s="177"/>
      <c r="D66" s="138"/>
      <c r="E66" s="40"/>
      <c r="G66" s="41"/>
      <c r="I66" s="42"/>
      <c r="K66" s="39"/>
      <c r="L66" s="41"/>
      <c r="M66" s="41"/>
      <c r="N66" s="41"/>
      <c r="O66" s="41"/>
      <c r="P66" s="41"/>
      <c r="Q66" s="41"/>
      <c r="R66" s="41"/>
      <c r="S66" s="43"/>
    </row>
    <row r="67" spans="2:19" ht="33" customHeight="1" thickTop="1" thickBot="1">
      <c r="C67" s="250" t="s">
        <v>136</v>
      </c>
      <c r="D67" s="173" t="s">
        <v>149</v>
      </c>
      <c r="E67" s="130"/>
      <c r="F67" s="121" t="str">
        <f>" 賦課限度額 "&amp;TEXT(★計算基準!G14/10000,"（#,##0万円）")</f>
        <v xml:space="preserve"> 賦課限度額 (17万円)</v>
      </c>
      <c r="G67" s="122"/>
      <c r="H67" s="123"/>
      <c r="I67" s="542">
        <f>IF(ROUNDDOWN(SUM(計算の詳細!P54:P65),-2)&gt;=★計算基準!G14,★計算基準!G14,ROUNDDOWN(SUM(計算の詳細!P54:P65),-2))</f>
        <v>0</v>
      </c>
      <c r="J67" s="542"/>
      <c r="K67" s="542"/>
      <c r="L67" s="542"/>
      <c r="M67" s="124" t="s">
        <v>52</v>
      </c>
      <c r="N67" s="122"/>
      <c r="O67" s="122"/>
      <c r="P67" s="122"/>
      <c r="Q67" s="145"/>
      <c r="R67" s="125" t="s">
        <v>125</v>
      </c>
      <c r="S67" s="120"/>
    </row>
    <row r="68" spans="2:19" ht="24.95" customHeight="1" thickTop="1"/>
    <row r="69" spans="2:19" ht="20.100000000000001" customHeight="1">
      <c r="B69" s="3"/>
      <c r="G69" s="11" t="str">
        <f>IF(AND(G72="",G73="",G74="",G75="",G76="",G77=""),"",IF(OR(G72&lt;430000,G73&lt;430000,G74&lt;430000,G75&lt;430000,G76&lt;430000,G77&lt;430000),"※総所得金額が43万円未満の方の基礎控除額は、総所得金額と同額となります。",""))</f>
        <v/>
      </c>
    </row>
    <row r="70" spans="2:19" ht="22.5" customHeight="1">
      <c r="C70" s="580" t="s">
        <v>54</v>
      </c>
      <c r="D70" s="342"/>
      <c r="E70" s="583" t="s">
        <v>32</v>
      </c>
      <c r="F70" s="583"/>
      <c r="G70" s="561" t="s">
        <v>114</v>
      </c>
      <c r="H70" s="585"/>
      <c r="I70" s="561" t="s">
        <v>56</v>
      </c>
      <c r="J70" s="573"/>
      <c r="K70" s="561" t="s">
        <v>14</v>
      </c>
      <c r="L70" s="573"/>
      <c r="M70" s="573" t="s">
        <v>59</v>
      </c>
      <c r="N70" s="343"/>
      <c r="O70" s="12"/>
      <c r="P70" s="12"/>
      <c r="Q70" s="12"/>
      <c r="R70" s="12"/>
      <c r="S70" s="13"/>
    </row>
    <row r="71" spans="2:19" ht="22.5" customHeight="1">
      <c r="C71" s="581"/>
      <c r="D71" s="344"/>
      <c r="E71" s="584"/>
      <c r="F71" s="584"/>
      <c r="G71" s="574"/>
      <c r="H71" s="586"/>
      <c r="I71" s="562"/>
      <c r="J71" s="574"/>
      <c r="K71" s="562"/>
      <c r="L71" s="574"/>
      <c r="M71" s="574"/>
      <c r="N71" s="347"/>
      <c r="S71" s="14"/>
    </row>
    <row r="72" spans="2:19" ht="22.5" customHeight="1">
      <c r="C72" s="581"/>
      <c r="D72" s="348" t="str">
        <f>IF(★計算基準!D19=0,"","世帯主")</f>
        <v>世帯主</v>
      </c>
      <c r="E72" s="349">
        <f>IF(★計算基準!L19=0,"",IF(★計算基準!D19=0,"",★計算基準!L19))</f>
        <v>1320000</v>
      </c>
      <c r="F72" s="350" t="str">
        <f>IF(E72="","","－")</f>
        <v>－</v>
      </c>
      <c r="G72" s="351">
        <f>IF(E8="","",IF(E8&lt;=★計算基準!H12,E8,430000))</f>
        <v>430000</v>
      </c>
      <c r="H72" s="352" t="str">
        <f t="shared" ref="H72" si="9">IF(E72="","","＝")</f>
        <v>＝</v>
      </c>
      <c r="I72" s="351">
        <f>IF(E8="","",IF(E72=0,"",E72-G72))</f>
        <v>890000</v>
      </c>
      <c r="J72" s="352"/>
      <c r="K72" s="353"/>
      <c r="L72" s="354"/>
      <c r="M72" s="575">
        <f>★計算基準!C15</f>
        <v>2.8E-3</v>
      </c>
      <c r="N72" s="355"/>
      <c r="S72" s="14"/>
    </row>
    <row r="73" spans="2:19" ht="22.5" customHeight="1">
      <c r="C73" s="581"/>
      <c r="D73" s="356" t="str">
        <f>IF(★計算基準!D20=0,"","加入者1")</f>
        <v/>
      </c>
      <c r="E73" s="357" t="str">
        <f>IF(★計算基準!L20=0,"",★計算基準!L20)</f>
        <v/>
      </c>
      <c r="F73" s="358" t="str">
        <f t="shared" ref="F73:F77" si="10">IF(E73="","","－")</f>
        <v/>
      </c>
      <c r="G73" s="359" t="str">
        <f>IF(E9="","",IF(E9&lt;=★計算基準!H12,E9,430000))</f>
        <v/>
      </c>
      <c r="H73" s="360" t="str">
        <f t="shared" ref="H73:H77" si="11">IF(E73="","","＝")</f>
        <v/>
      </c>
      <c r="I73" s="359" t="str">
        <f t="shared" ref="I73:I77" si="12">IF(E9="","",IF(E73=0,"",E73-G73))</f>
        <v/>
      </c>
      <c r="J73" s="361"/>
      <c r="K73" s="362"/>
      <c r="L73" s="361"/>
      <c r="M73" s="576"/>
      <c r="N73" s="363"/>
      <c r="S73" s="14"/>
    </row>
    <row r="74" spans="2:19" ht="22.5" customHeight="1">
      <c r="C74" s="581"/>
      <c r="D74" s="348" t="str">
        <f>IF(★計算基準!D21=0,"","加入者2")</f>
        <v/>
      </c>
      <c r="E74" s="349" t="str">
        <f>IF(★計算基準!L21=0,"",★計算基準!L21)</f>
        <v/>
      </c>
      <c r="F74" s="364" t="str">
        <f t="shared" si="10"/>
        <v/>
      </c>
      <c r="G74" s="365" t="str">
        <f>IF(E10="","",IF(E10&lt;=★計算基準!H12,E10,430000))</f>
        <v/>
      </c>
      <c r="H74" s="366" t="str">
        <f t="shared" si="11"/>
        <v/>
      </c>
      <c r="I74" s="365" t="str">
        <f t="shared" si="12"/>
        <v/>
      </c>
      <c r="J74" s="367"/>
      <c r="K74" s="578">
        <f>SUM(I72:I77)</f>
        <v>890000</v>
      </c>
      <c r="L74" s="368"/>
      <c r="M74" s="576"/>
      <c r="N74" s="369"/>
      <c r="P74" s="501">
        <f>ROUNDDOWN(K74*M72,0)</f>
        <v>2492</v>
      </c>
      <c r="Q74" s="151"/>
      <c r="R74" s="503" t="s">
        <v>119</v>
      </c>
      <c r="S74" s="14"/>
    </row>
    <row r="75" spans="2:19" ht="22.5" customHeight="1">
      <c r="C75" s="581"/>
      <c r="D75" s="370" t="str">
        <f>IF(★計算基準!D22=0,"","加入者3")</f>
        <v/>
      </c>
      <c r="E75" s="371" t="str">
        <f>IF(★計算基準!L22=0,"",★計算基準!L22)</f>
        <v/>
      </c>
      <c r="F75" s="372" t="str">
        <f t="shared" si="10"/>
        <v/>
      </c>
      <c r="G75" s="373" t="str">
        <f>IF(E11="","",IF(E11&lt;=★計算基準!H12,E11,430000))</f>
        <v/>
      </c>
      <c r="H75" s="346" t="str">
        <f t="shared" si="11"/>
        <v/>
      </c>
      <c r="I75" s="359" t="str">
        <f t="shared" si="12"/>
        <v/>
      </c>
      <c r="J75" s="374"/>
      <c r="K75" s="579"/>
      <c r="L75" s="375"/>
      <c r="M75" s="576"/>
      <c r="N75" s="363"/>
      <c r="P75" s="501"/>
      <c r="Q75" s="151"/>
      <c r="R75" s="437"/>
      <c r="S75" s="14"/>
    </row>
    <row r="76" spans="2:19" ht="22.5" customHeight="1">
      <c r="C76" s="581"/>
      <c r="D76" s="348" t="str">
        <f>IF(★計算基準!D23=0,"","加入者4")</f>
        <v/>
      </c>
      <c r="E76" s="376" t="str">
        <f>IF(★計算基準!L23=0,"",★計算基準!L23)</f>
        <v/>
      </c>
      <c r="F76" s="377" t="str">
        <f t="shared" si="10"/>
        <v/>
      </c>
      <c r="G76" s="378" t="str">
        <f>IF(E12="","",IF(E12&lt;=★計算基準!H12,E12,430000))</f>
        <v/>
      </c>
      <c r="H76" s="379" t="str">
        <f>IF(E76="","","＝")</f>
        <v/>
      </c>
      <c r="I76" s="365" t="str">
        <f t="shared" si="12"/>
        <v/>
      </c>
      <c r="J76" s="352"/>
      <c r="K76" s="380"/>
      <c r="L76" s="352"/>
      <c r="M76" s="576"/>
      <c r="N76" s="369"/>
      <c r="S76" s="14"/>
    </row>
    <row r="77" spans="2:19" ht="22.5" customHeight="1">
      <c r="C77" s="581"/>
      <c r="D77" s="381" t="str">
        <f>IF(★計算基準!D24=0,"","加入者5")</f>
        <v/>
      </c>
      <c r="E77" s="371" t="str">
        <f>IF(★計算基準!L24=0,"",★計算基準!L24)</f>
        <v/>
      </c>
      <c r="F77" s="382" t="str">
        <f t="shared" si="10"/>
        <v/>
      </c>
      <c r="G77" s="359" t="str">
        <f>IF(E13="","",IF(E13&lt;=★計算基準!H12,E13,430000))</f>
        <v/>
      </c>
      <c r="H77" s="383" t="str">
        <f t="shared" si="11"/>
        <v/>
      </c>
      <c r="I77" s="359" t="str">
        <f t="shared" si="12"/>
        <v/>
      </c>
      <c r="J77" s="384"/>
      <c r="K77" s="362"/>
      <c r="L77" s="384"/>
      <c r="M77" s="577"/>
      <c r="N77" s="385"/>
      <c r="S77" s="14"/>
    </row>
    <row r="78" spans="2:19" ht="5.0999999999999996" customHeight="1">
      <c r="C78" s="582"/>
      <c r="D78" s="344"/>
      <c r="E78" s="386"/>
      <c r="F78" s="345"/>
      <c r="G78" s="347"/>
      <c r="H78" s="345"/>
      <c r="I78" s="387"/>
      <c r="J78" s="347"/>
      <c r="K78" s="345"/>
      <c r="L78" s="347"/>
      <c r="M78" s="347"/>
      <c r="N78" s="347"/>
      <c r="S78" s="14"/>
    </row>
    <row r="79" spans="2:19" ht="5.0999999999999996" customHeight="1">
      <c r="C79" s="388"/>
      <c r="D79" s="389"/>
      <c r="E79" s="390"/>
      <c r="F79" s="391"/>
      <c r="G79" s="392"/>
      <c r="H79" s="391"/>
      <c r="I79" s="393"/>
      <c r="J79" s="392"/>
      <c r="K79" s="391"/>
      <c r="L79" s="392"/>
      <c r="M79" s="392"/>
      <c r="N79" s="392"/>
      <c r="O79" s="230"/>
      <c r="P79" s="230"/>
      <c r="Q79" s="230"/>
      <c r="R79" s="230"/>
      <c r="S79" s="232"/>
    </row>
    <row r="80" spans="2:19" ht="22.5" customHeight="1">
      <c r="C80" s="566" t="s">
        <v>55</v>
      </c>
      <c r="D80" s="394"/>
      <c r="E80" s="395"/>
      <c r="F80" s="396"/>
      <c r="G80" s="397" t="s">
        <v>158</v>
      </c>
      <c r="H80" s="396"/>
      <c r="I80" s="398">
        <f>★計算基準!D15</f>
        <v>1200</v>
      </c>
      <c r="J80" s="396" t="s">
        <v>58</v>
      </c>
      <c r="K80" s="399">
        <f>★計算基準!C39</f>
        <v>1</v>
      </c>
      <c r="L80" s="396" t="s">
        <v>57</v>
      </c>
      <c r="M80" s="572">
        <f>I80*K80</f>
        <v>1200</v>
      </c>
      <c r="N80" s="572"/>
      <c r="P80" s="152"/>
      <c r="Q80" s="151"/>
      <c r="R80" s="151"/>
      <c r="S80" s="14"/>
    </row>
    <row r="81" spans="3:23" ht="22.5" customHeight="1">
      <c r="C81" s="566"/>
      <c r="D81" s="400"/>
      <c r="E81" s="401"/>
      <c r="F81" s="402" t="str">
        <f>IF(★計算基準!C37=0,"",IF(VLOOKUP("○",★計算基準!G47:J50,4,FALSE)=0,"","減額："))</f>
        <v/>
      </c>
      <c r="G81" s="403" t="str">
        <f>IF(★計算基準!C37=0,"",IF(VLOOKUP("○",★計算基準!G47:J50,4,FALSE)=0,"",VLOOKUP("○",★計算基準!G47:J50,4,FALSE)))</f>
        <v/>
      </c>
      <c r="H81" s="352"/>
      <c r="I81" s="351" t="str">
        <f>IF(★計算基準!C37=0,"",IF(VLOOKUP("○",★計算基準!G47:J50,4,FALSE)=0,"",0-★計算基準!H34/K80))</f>
        <v/>
      </c>
      <c r="J81" s="352" t="str">
        <f>IF(★計算基準!C37=0,"",IF(VLOOKUP("○",★計算基準!G47:J50,4,FALSE)=0,"","×"))</f>
        <v/>
      </c>
      <c r="K81" s="404" t="str">
        <f>IF(★計算基準!C37=0,"",IF(VLOOKUP("○",★計算基準!G47:J50,4,FALSE)=0,"",★計算基準!C37))</f>
        <v/>
      </c>
      <c r="L81" s="352" t="str">
        <f>IF(★計算基準!C37=0,"",IF(VLOOKUP("○",★計算基準!G47:J50,4,FALSE)=0,"","＝"))</f>
        <v/>
      </c>
      <c r="M81" s="563" t="str">
        <f>IF(★計算基準!C37=0,"",IF(VLOOKUP("○",★計算基準!G47:J50,4,FALSE)=0,"",I81*K81))</f>
        <v/>
      </c>
      <c r="N81" s="563"/>
      <c r="P81" s="152">
        <f>IF(AND(M81="",M82=""),M80,IF(M81="",M80+M82,IF(M82="",M80+M81,M80+M81+M82)))</f>
        <v>1200</v>
      </c>
      <c r="Q81" s="151"/>
      <c r="R81" s="165" t="s">
        <v>118</v>
      </c>
      <c r="S81" s="14"/>
    </row>
    <row r="82" spans="3:23" ht="22.5" customHeight="1">
      <c r="C82" s="567"/>
      <c r="D82" s="406"/>
      <c r="E82" s="407"/>
      <c r="F82" s="408" t="str">
        <f>F18</f>
        <v/>
      </c>
      <c r="G82" s="408" t="str">
        <f>G18</f>
        <v/>
      </c>
      <c r="H82" s="409"/>
      <c r="I82" s="405" t="str">
        <f>IF(★計算基準!G43=0,"",-★計算基準!J43/★計算基準!G43)</f>
        <v/>
      </c>
      <c r="J82" s="410" t="str">
        <f>J18</f>
        <v/>
      </c>
      <c r="K82" s="410" t="str">
        <f>K18</f>
        <v/>
      </c>
      <c r="L82" s="410" t="str">
        <f>L18</f>
        <v/>
      </c>
      <c r="M82" s="563" t="str">
        <f>IF(★計算基準!J43=0,"",-★計算基準!J43)</f>
        <v/>
      </c>
      <c r="N82" s="564" t="str">
        <f>IF(★計算基準!K104=0,"",★計算基準!K104)</f>
        <v/>
      </c>
      <c r="P82" s="180"/>
      <c r="Q82" s="151"/>
      <c r="R82" s="151"/>
      <c r="S82" s="14"/>
      <c r="W82" s="158"/>
    </row>
    <row r="83" spans="3:23" ht="5.0999999999999996" customHeight="1">
      <c r="C83" s="411"/>
      <c r="D83" s="412"/>
      <c r="E83" s="413"/>
      <c r="F83" s="414"/>
      <c r="G83" s="415"/>
      <c r="H83" s="414"/>
      <c r="I83" s="416"/>
      <c r="J83" s="415"/>
      <c r="K83" s="414"/>
      <c r="L83" s="415"/>
      <c r="M83" s="415"/>
      <c r="N83" s="415"/>
      <c r="O83" s="41"/>
      <c r="P83" s="41"/>
      <c r="Q83" s="41"/>
      <c r="R83" s="41"/>
      <c r="S83" s="43"/>
    </row>
    <row r="84" spans="3:23" ht="5.0999999999999996" customHeight="1">
      <c r="C84" s="388"/>
      <c r="D84" s="389"/>
      <c r="E84" s="390"/>
      <c r="F84" s="391"/>
      <c r="G84" s="392"/>
      <c r="H84" s="391"/>
      <c r="I84" s="393"/>
      <c r="J84" s="392"/>
      <c r="K84" s="391"/>
      <c r="L84" s="392"/>
      <c r="M84" s="392"/>
      <c r="N84" s="392"/>
      <c r="O84" s="230"/>
      <c r="P84" s="230"/>
      <c r="Q84" s="230"/>
      <c r="R84" s="230"/>
      <c r="S84" s="232"/>
    </row>
    <row r="85" spans="3:23" ht="22.5" customHeight="1">
      <c r="C85" s="570" t="s">
        <v>142</v>
      </c>
      <c r="D85" s="394"/>
      <c r="E85" s="395"/>
      <c r="F85" s="396"/>
      <c r="G85" s="417" t="s">
        <v>42</v>
      </c>
      <c r="H85" s="396"/>
      <c r="I85" s="398">
        <f>★計算基準!E15</f>
        <v>100</v>
      </c>
      <c r="J85" s="396" t="s">
        <v>58</v>
      </c>
      <c r="K85" s="399">
        <f>★計算基準!C39</f>
        <v>1</v>
      </c>
      <c r="L85" s="396" t="s">
        <v>57</v>
      </c>
      <c r="M85" s="572">
        <f>I85*K85</f>
        <v>100</v>
      </c>
      <c r="N85" s="572"/>
      <c r="P85" s="152"/>
      <c r="Q85" s="151"/>
      <c r="R85" s="151"/>
      <c r="S85" s="14"/>
    </row>
    <row r="86" spans="3:23" ht="22.5" customHeight="1">
      <c r="C86" s="570"/>
      <c r="D86" s="400"/>
      <c r="E86" s="401"/>
      <c r="F86" s="402" t="str">
        <f>IF(★計算基準!C37=0,"",IF(VLOOKUP("○",★計算基準!G47:J50,4,FALSE)=0,"","減額："))</f>
        <v/>
      </c>
      <c r="G86" s="403" t="str">
        <f>IF(★計算基準!C37=0,"",IF(VLOOKUP("○",★計算基準!G47:J50,4,FALSE)=0,"",VLOOKUP("○",★計算基準!G47:J50,4,FALSE)))</f>
        <v/>
      </c>
      <c r="H86" s="352"/>
      <c r="I86" s="351" t="str">
        <f>IF(★計算基準!C39=0,"",IF(VLOOKUP("○",★計算基準!G47:J50,4,FALSE)=0,"",0-★計算基準!J34/K85))</f>
        <v/>
      </c>
      <c r="J86" s="352" t="str">
        <f>IF(★計算基準!C37=0,"",IF(VLOOKUP("○",★計算基準!G47:J50,4,FALSE)=0,"","×"))</f>
        <v/>
      </c>
      <c r="K86" s="404" t="str">
        <f>IF(★計算基準!C39=0,"",IF(VLOOKUP("○",★計算基準!G47:J50,4,FALSE)=0,"",★計算基準!C39))</f>
        <v/>
      </c>
      <c r="L86" s="352" t="str">
        <f>IF(★計算基準!C37=0,"",IF(VLOOKUP("○",★計算基準!G47:J50,4,FALSE)=0,"","＝"))</f>
        <v/>
      </c>
      <c r="M86" s="563" t="str">
        <f>IF(★計算基準!C37=0,"",IF(VLOOKUP("○",★計算基準!G47:J50,4,FALSE)=0,"",I86*K86))</f>
        <v/>
      </c>
      <c r="N86" s="563"/>
      <c r="P86" s="152">
        <f>IF(AND(M86="",M87=""),M85,IF(M86="",M85+M87,IF(M87="",M85+M86,M85+M86+M87)))</f>
        <v>100</v>
      </c>
      <c r="Q86" s="151"/>
      <c r="R86" s="165" t="s">
        <v>118</v>
      </c>
      <c r="S86" s="14"/>
    </row>
    <row r="87" spans="3:23" ht="22.5" customHeight="1">
      <c r="C87" s="571"/>
      <c r="D87" s="406"/>
      <c r="E87" s="407"/>
      <c r="F87" s="418"/>
      <c r="G87" s="418"/>
      <c r="H87" s="409"/>
      <c r="I87" s="405"/>
      <c r="J87" s="410"/>
      <c r="K87" s="410"/>
      <c r="L87" s="410"/>
      <c r="M87" s="563"/>
      <c r="N87" s="564" t="str">
        <f>IF(★計算基準!K109=0,"",★計算基準!K109)</f>
        <v/>
      </c>
      <c r="P87" s="180"/>
      <c r="Q87" s="151"/>
      <c r="R87" s="151"/>
      <c r="S87" s="14"/>
      <c r="W87" s="158"/>
    </row>
    <row r="88" spans="3:23" ht="5.0999999999999996" customHeight="1">
      <c r="C88" s="411"/>
      <c r="D88" s="412"/>
      <c r="E88" s="413"/>
      <c r="F88" s="414"/>
      <c r="G88" s="415"/>
      <c r="H88" s="414"/>
      <c r="I88" s="416"/>
      <c r="J88" s="415"/>
      <c r="K88" s="414"/>
      <c r="L88" s="415"/>
      <c r="M88" s="415"/>
      <c r="N88" s="415"/>
      <c r="O88" s="41"/>
      <c r="P88" s="41"/>
      <c r="Q88" s="41"/>
      <c r="R88" s="41"/>
      <c r="S88" s="43"/>
    </row>
    <row r="89" spans="3:23" ht="5.0999999999999996" customHeight="1">
      <c r="C89" s="419"/>
      <c r="D89" s="389"/>
      <c r="E89" s="390"/>
      <c r="F89" s="391"/>
      <c r="G89" s="392"/>
      <c r="H89" s="391"/>
      <c r="I89" s="393"/>
      <c r="J89" s="392"/>
      <c r="K89" s="391"/>
      <c r="L89" s="392"/>
      <c r="M89" s="392"/>
      <c r="N89" s="392"/>
      <c r="O89" s="230"/>
      <c r="P89" s="230"/>
      <c r="Q89" s="230"/>
      <c r="R89" s="230"/>
      <c r="S89" s="232"/>
    </row>
    <row r="90" spans="3:23" ht="22.5" customHeight="1">
      <c r="C90" s="568" t="s">
        <v>130</v>
      </c>
      <c r="D90" s="394"/>
      <c r="E90" s="395"/>
      <c r="F90" s="396"/>
      <c r="G90" s="417" t="s">
        <v>43</v>
      </c>
      <c r="H90" s="396"/>
      <c r="I90" s="398">
        <f>★計算基準!F15</f>
        <v>800</v>
      </c>
      <c r="J90" s="420"/>
      <c r="K90" s="421"/>
      <c r="L90" s="420"/>
      <c r="M90" s="572">
        <f>IF(★計算基準!C37=0,"",★計算基準!F15)</f>
        <v>800</v>
      </c>
      <c r="N90" s="572"/>
      <c r="P90" s="501">
        <f>IF(AND(M90="",M91=""),0,IF(M91="",M90,M90+M91))</f>
        <v>800</v>
      </c>
      <c r="Q90" s="151"/>
      <c r="R90" s="503" t="s">
        <v>117</v>
      </c>
      <c r="S90" s="14"/>
    </row>
    <row r="91" spans="3:23" ht="22.5" customHeight="1">
      <c r="C91" s="569"/>
      <c r="D91" s="400"/>
      <c r="E91" s="401"/>
      <c r="F91" s="402" t="str">
        <f>IF(★計算基準!C37=0,"",IF(VLOOKUP("○",★計算基準!G47:J50,4,FALSE)=0,"","減額："))</f>
        <v/>
      </c>
      <c r="G91" s="403" t="str">
        <f>IF(★計算基準!C37=0,"",IF(VLOOKUP("○",★計算基準!G47:J50,4,FALSE)=0,"",VLOOKUP("○",★計算基準!G47:J50,4,FALSE)))</f>
        <v/>
      </c>
      <c r="H91" s="352"/>
      <c r="I91" s="351" t="str">
        <f>IF(★計算基準!C37=0,"",IF(VLOOKUP("○",★計算基準!G47:J50,4,FALSE)=0,"",0-★計算基準!I34))</f>
        <v/>
      </c>
      <c r="J91" s="355"/>
      <c r="K91" s="422"/>
      <c r="L91" s="355"/>
      <c r="M91" s="565" t="str">
        <f>IF(★計算基準!C37=0,"",IF(VLOOKUP("○",★計算基準!G47:J50,4,FALSE)=0,"",0-★計算基準!I34))</f>
        <v/>
      </c>
      <c r="N91" s="565"/>
      <c r="P91" s="501"/>
      <c r="Q91" s="151"/>
      <c r="R91" s="437"/>
      <c r="S91" s="14"/>
    </row>
    <row r="92" spans="3:23" ht="5.0999999999999996" customHeight="1" thickBot="1">
      <c r="C92" s="235"/>
      <c r="D92" s="215"/>
      <c r="E92" s="216"/>
      <c r="F92" s="217"/>
      <c r="G92" s="218"/>
      <c r="H92" s="217"/>
      <c r="I92" s="219"/>
      <c r="J92" s="218"/>
      <c r="K92" s="217"/>
      <c r="L92" s="218"/>
      <c r="M92" s="218"/>
      <c r="N92" s="218"/>
      <c r="O92" s="218"/>
      <c r="P92" s="218"/>
      <c r="Q92" s="218"/>
      <c r="R92" s="218"/>
      <c r="S92" s="220"/>
    </row>
    <row r="93" spans="3:23" ht="50.25" hidden="1" customHeight="1" thickTop="1" thickBot="1">
      <c r="C93" s="126">
        <f>C66</f>
        <v>0</v>
      </c>
      <c r="D93" s="106"/>
      <c r="E93" s="164"/>
      <c r="F93" s="122"/>
      <c r="G93" s="122"/>
      <c r="H93" s="123"/>
      <c r="I93" s="168"/>
      <c r="J93" s="166"/>
      <c r="K93" s="526">
        <f>★計算基準!$S$36</f>
        <v>100</v>
      </c>
      <c r="L93" s="545"/>
      <c r="M93" s="124"/>
      <c r="N93" s="122"/>
      <c r="O93" s="122"/>
      <c r="P93" s="122"/>
      <c r="Q93" s="145"/>
      <c r="R93" s="125" t="str">
        <f>IF(C93="","","　… (エ)")</f>
        <v>　… (エ)</v>
      </c>
      <c r="S93" s="119"/>
    </row>
    <row r="94" spans="3:23" ht="33" customHeight="1" thickTop="1" thickBot="1">
      <c r="C94" s="171" t="s">
        <v>135</v>
      </c>
      <c r="D94" s="107"/>
      <c r="E94" s="170"/>
      <c r="F94" s="122" t="str">
        <f>" 賦課限度額 "&amp;TEXT(★計算基準!G15/10000,"（#,##0万円）")</f>
        <v xml:space="preserve"> 賦課限度額 (3万円)</v>
      </c>
      <c r="G94" s="122"/>
      <c r="H94" s="123"/>
      <c r="I94" s="542">
        <f>IF(ROUNDDOWN(SUM(P74:P91)-MAX(K93,0),-2)&gt;=★計算基準!G15,★計算基準!G15,ROUNDDOWN(SUM(P74:P91)-MAX(K93,0),-2))</f>
        <v>4400</v>
      </c>
      <c r="J94" s="542"/>
      <c r="K94" s="542"/>
      <c r="L94" s="542"/>
      <c r="M94" s="124" t="s">
        <v>52</v>
      </c>
      <c r="N94" s="122"/>
      <c r="O94" s="122"/>
      <c r="P94" s="122"/>
      <c r="Q94" s="145"/>
      <c r="R94" s="125" t="s">
        <v>150</v>
      </c>
      <c r="S94" s="120"/>
    </row>
    <row r="95" spans="3:23" ht="15" customHeight="1" thickTop="1" thickBot="1">
      <c r="C95" s="7"/>
      <c r="D95" s="64"/>
      <c r="E95" s="7"/>
      <c r="F95" s="65"/>
      <c r="G95" s="66"/>
      <c r="H95" s="558"/>
      <c r="I95" s="559"/>
      <c r="J95" s="7"/>
      <c r="K95" s="7"/>
      <c r="L95" s="67"/>
      <c r="M95" s="560"/>
      <c r="N95" s="560"/>
      <c r="O95" s="67"/>
      <c r="P95" s="67"/>
      <c r="Q95" s="7"/>
      <c r="R95" s="7"/>
      <c r="S95" s="7"/>
    </row>
    <row r="96" spans="3:23" ht="15" customHeight="1" thickBot="1">
      <c r="F96" s="52"/>
      <c r="G96" s="68"/>
      <c r="H96" s="69"/>
      <c r="I96" s="70"/>
      <c r="L96" s="3"/>
      <c r="M96" s="71"/>
      <c r="N96" s="71"/>
      <c r="O96" s="3"/>
      <c r="P96" s="3"/>
    </row>
    <row r="97" spans="6:19" ht="45" customHeight="1" thickBot="1">
      <c r="I97" s="72" t="s">
        <v>151</v>
      </c>
      <c r="J97" s="73"/>
      <c r="K97" s="73"/>
      <c r="L97" s="73"/>
      <c r="M97" s="73"/>
      <c r="N97" s="73"/>
      <c r="O97" s="74"/>
      <c r="P97" s="555">
        <f>I25+I47+I67+I94</f>
        <v>140100</v>
      </c>
      <c r="Q97" s="556"/>
      <c r="R97" s="556"/>
      <c r="S97" s="557"/>
    </row>
    <row r="98" spans="6:19" ht="4.5" customHeight="1">
      <c r="F98" s="52"/>
      <c r="G98" s="68"/>
      <c r="H98" s="548"/>
      <c r="I98" s="549"/>
      <c r="L98" s="3"/>
      <c r="M98" s="550"/>
      <c r="N98" s="550"/>
      <c r="O98" s="3"/>
      <c r="P98" s="3"/>
    </row>
    <row r="99" spans="6:19" ht="30" customHeight="1">
      <c r="I99" s="163" t="s">
        <v>137</v>
      </c>
      <c r="J99" s="75"/>
      <c r="K99" s="75"/>
      <c r="L99" s="75"/>
      <c r="M99" s="75"/>
      <c r="N99" s="75"/>
      <c r="O99" s="76"/>
      <c r="P99" s="551">
        <f>P97/12</f>
        <v>11675</v>
      </c>
      <c r="Q99" s="552"/>
      <c r="R99" s="552"/>
      <c r="S99" s="553"/>
    </row>
    <row r="100" spans="6:19" ht="6.75" customHeight="1"/>
  </sheetData>
  <sheetProtection algorithmName="SHA-512" hashValue="2y1xH127nocS8DFZE+71I9PrlRD/R3NrdoEvTbYUB0loWhZUxcxPQUsTrzhf2U5hywjaF2sZr7k/yNwhPJtq0Q==" saltValue="rWfUWfGkhSIvZnSlpnjFHw==" spinCount="100000" sheet="1" selectLockedCells="1"/>
  <mergeCells count="110">
    <mergeCell ref="C80:C82"/>
    <mergeCell ref="C90:C91"/>
    <mergeCell ref="C85:C87"/>
    <mergeCell ref="R74:R75"/>
    <mergeCell ref="M90:N90"/>
    <mergeCell ref="P74:P75"/>
    <mergeCell ref="M80:N80"/>
    <mergeCell ref="J70:J71"/>
    <mergeCell ref="K70:K71"/>
    <mergeCell ref="L70:L71"/>
    <mergeCell ref="M70:M71"/>
    <mergeCell ref="M72:M77"/>
    <mergeCell ref="K74:K75"/>
    <mergeCell ref="C70:C78"/>
    <mergeCell ref="E70:E71"/>
    <mergeCell ref="F70:F71"/>
    <mergeCell ref="G70:G71"/>
    <mergeCell ref="H70:H71"/>
    <mergeCell ref="M87:N87"/>
    <mergeCell ref="P90:P91"/>
    <mergeCell ref="R90:R91"/>
    <mergeCell ref="M85:N85"/>
    <mergeCell ref="M86:N86"/>
    <mergeCell ref="M81:N81"/>
    <mergeCell ref="H98:I98"/>
    <mergeCell ref="M98:N98"/>
    <mergeCell ref="P99:S99"/>
    <mergeCell ref="Q54:R55"/>
    <mergeCell ref="Q60:R61"/>
    <mergeCell ref="P97:S97"/>
    <mergeCell ref="I67:L67"/>
    <mergeCell ref="H95:I95"/>
    <mergeCell ref="P54:P55"/>
    <mergeCell ref="M52:M57"/>
    <mergeCell ref="Q64:R65"/>
    <mergeCell ref="M61:N61"/>
    <mergeCell ref="M64:N64"/>
    <mergeCell ref="M65:N65"/>
    <mergeCell ref="P60:P61"/>
    <mergeCell ref="P64:P65"/>
    <mergeCell ref="M95:N95"/>
    <mergeCell ref="M60:N60"/>
    <mergeCell ref="I70:I71"/>
    <mergeCell ref="K93:L93"/>
    <mergeCell ref="I94:L94"/>
    <mergeCell ref="M82:N82"/>
    <mergeCell ref="M91:N91"/>
    <mergeCell ref="I25:L25"/>
    <mergeCell ref="L28:L29"/>
    <mergeCell ref="K28:K29"/>
    <mergeCell ref="K46:L46"/>
    <mergeCell ref="M40:N40"/>
    <mergeCell ref="M38:N38"/>
    <mergeCell ref="M39:N39"/>
    <mergeCell ref="M30:M35"/>
    <mergeCell ref="K32:K33"/>
    <mergeCell ref="M44:N44"/>
    <mergeCell ref="M43:N43"/>
    <mergeCell ref="R32:R33"/>
    <mergeCell ref="P43:P44"/>
    <mergeCell ref="C64:C65"/>
    <mergeCell ref="C60:C61"/>
    <mergeCell ref="C50:C58"/>
    <mergeCell ref="K50:K51"/>
    <mergeCell ref="F50:F51"/>
    <mergeCell ref="E50:E51"/>
    <mergeCell ref="J50:J51"/>
    <mergeCell ref="H50:H51"/>
    <mergeCell ref="I50:I51"/>
    <mergeCell ref="K54:K55"/>
    <mergeCell ref="G50:G51"/>
    <mergeCell ref="L50:L51"/>
    <mergeCell ref="I47:L47"/>
    <mergeCell ref="M50:M51"/>
    <mergeCell ref="C43:C44"/>
    <mergeCell ref="P32:P33"/>
    <mergeCell ref="R43:R44"/>
    <mergeCell ref="E28:E29"/>
    <mergeCell ref="H28:H29"/>
    <mergeCell ref="F28:F29"/>
    <mergeCell ref="G28:G29"/>
    <mergeCell ref="C28:C36"/>
    <mergeCell ref="C38:C40"/>
    <mergeCell ref="H6:H7"/>
    <mergeCell ref="M6:M7"/>
    <mergeCell ref="L6:L7"/>
    <mergeCell ref="J6:J7"/>
    <mergeCell ref="I28:I29"/>
    <mergeCell ref="M28:M29"/>
    <mergeCell ref="J28:J29"/>
    <mergeCell ref="I6:I7"/>
    <mergeCell ref="K6:K7"/>
    <mergeCell ref="M8:M13"/>
    <mergeCell ref="K10:K11"/>
    <mergeCell ref="M21:N21"/>
    <mergeCell ref="M16:N16"/>
    <mergeCell ref="M17:N17"/>
    <mergeCell ref="K24:L24"/>
    <mergeCell ref="C6:C14"/>
    <mergeCell ref="E6:E7"/>
    <mergeCell ref="F6:F7"/>
    <mergeCell ref="G6:G7"/>
    <mergeCell ref="C21:C22"/>
    <mergeCell ref="C16:C18"/>
    <mergeCell ref="P10:P11"/>
    <mergeCell ref="P21:P22"/>
    <mergeCell ref="M22:N22"/>
    <mergeCell ref="R10:R11"/>
    <mergeCell ref="R21:R22"/>
    <mergeCell ref="M18:N18"/>
  </mergeCells>
  <phoneticPr fontId="2"/>
  <printOptions horizontalCentered="1"/>
  <pageMargins left="0.39370078740157483" right="0.39370078740157483" top="0.39370078740157483" bottom="0.39370078740157483" header="0.70866141732283472" footer="0"/>
  <pageSetup paperSize="9" scale="47" orientation="portrait" r:id="rId1"/>
  <headerFooter alignWithMargins="0">
    <oddHeader>&amp;R&amp;"BIZ UDゴシック,標準"&amp;D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2:V52"/>
  <sheetViews>
    <sheetView topLeftCell="A23" zoomScale="85" zoomScaleNormal="85" workbookViewId="0">
      <selection activeCell="I10" sqref="I10"/>
    </sheetView>
  </sheetViews>
  <sheetFormatPr defaultRowHeight="15.75"/>
  <cols>
    <col min="1" max="1" width="9" style="62"/>
    <col min="2" max="2" width="16.25" style="62" customWidth="1"/>
    <col min="3" max="3" width="15.375" style="62" bestFit="1" customWidth="1"/>
    <col min="4" max="4" width="13.125" style="62" bestFit="1" customWidth="1"/>
    <col min="5" max="5" width="15.375" style="62" bestFit="1" customWidth="1"/>
    <col min="6" max="7" width="13.125" style="62" bestFit="1" customWidth="1"/>
    <col min="8" max="8" width="14.75" style="62" bestFit="1" customWidth="1"/>
    <col min="9" max="9" width="16.875" style="62" customWidth="1"/>
    <col min="10" max="12" width="13.125" style="62" bestFit="1" customWidth="1"/>
    <col min="13" max="13" width="16.75" style="62" customWidth="1"/>
    <col min="14" max="17" width="15.375" style="62" customWidth="1"/>
    <col min="18" max="18" width="11.625" style="62" bestFit="1" customWidth="1"/>
    <col min="19" max="16384" width="9" style="62"/>
  </cols>
  <sheetData>
    <row r="2" spans="1:19" ht="47.25">
      <c r="A2" s="296" t="s">
        <v>83</v>
      </c>
      <c r="B2" s="296"/>
      <c r="C2" s="297" t="s">
        <v>87</v>
      </c>
      <c r="D2" s="296"/>
      <c r="E2" s="297" t="s">
        <v>88</v>
      </c>
      <c r="F2" s="296"/>
      <c r="G2" s="296" t="s">
        <v>44</v>
      </c>
      <c r="H2" s="296"/>
      <c r="K2" s="251" t="s">
        <v>80</v>
      </c>
      <c r="L2" s="251" t="s">
        <v>81</v>
      </c>
      <c r="M2" s="245" t="s">
        <v>68</v>
      </c>
      <c r="N2" s="245" t="s">
        <v>78</v>
      </c>
      <c r="O2" s="245" t="s">
        <v>138</v>
      </c>
      <c r="P2" s="252" t="s">
        <v>79</v>
      </c>
      <c r="Q2" s="252" t="s">
        <v>139</v>
      </c>
      <c r="R2" s="251" t="s">
        <v>82</v>
      </c>
    </row>
    <row r="3" spans="1:19">
      <c r="A3" s="298" t="s">
        <v>84</v>
      </c>
      <c r="B3" s="294">
        <v>1</v>
      </c>
      <c r="C3" s="299" t="s">
        <v>120</v>
      </c>
      <c r="D3" s="294">
        <v>1</v>
      </c>
      <c r="E3" s="299"/>
      <c r="F3" s="294">
        <v>1</v>
      </c>
      <c r="G3" s="299" t="s">
        <v>126</v>
      </c>
      <c r="H3" s="296"/>
      <c r="J3" s="99" t="str">
        <f>IF(P3&gt;0,IF(L3=TRUE,"世帯主 ",""),"")</f>
        <v/>
      </c>
      <c r="K3" s="253" t="b">
        <v>0</v>
      </c>
      <c r="L3" s="253" t="b">
        <f>AND(K3=TRUE,C19&lt;5)</f>
        <v>0</v>
      </c>
      <c r="M3" s="254">
        <f>VLOOKUP(試算シート!R10,所得計算!B3:C13,2,1)</f>
        <v>1320000</v>
      </c>
      <c r="N3" s="255">
        <f t="shared" ref="N3:N8" si="0">IF(AND(M3&gt;0,I19&gt;0),IF(IF(M3&gt;100000,100000,M3)+IF(I19&gt;100000,100000,I19)&gt;100000,IF(M3&gt;100000,100000,M3)+IF(I19&gt;100000,100000,I19)-100000,M3),0)</f>
        <v>0</v>
      </c>
      <c r="O3" s="255">
        <f t="shared" ref="O3:O8" si="1">IF(AND(M3&gt;0,J19&gt;0),IF(IF(M3&gt;100000,100000,M3)+IF(J19&gt;100000,100000,J19)&gt;100000,IF(M3&gt;100000,100000,M3)+IF(J19&gt;100000,100000,J19)-100000,M3),0)</f>
        <v>0</v>
      </c>
      <c r="P3" s="254">
        <f t="shared" ref="P3:P8" si="2">M3-N3</f>
        <v>1320000</v>
      </c>
      <c r="Q3" s="254">
        <f>M3-O3</f>
        <v>1320000</v>
      </c>
      <c r="R3" s="256">
        <f>IF(L3=TRUE,P3*0.3,P3)</f>
        <v>1320000</v>
      </c>
    </row>
    <row r="4" spans="1:19">
      <c r="A4" s="298" t="s">
        <v>7</v>
      </c>
      <c r="B4" s="294">
        <v>2</v>
      </c>
      <c r="C4" s="299" t="s">
        <v>129</v>
      </c>
      <c r="D4" s="294">
        <v>2</v>
      </c>
      <c r="E4" s="299" t="s">
        <v>120</v>
      </c>
      <c r="F4" s="294">
        <v>2</v>
      </c>
      <c r="G4" s="299" t="s">
        <v>127</v>
      </c>
      <c r="H4" s="296"/>
      <c r="J4" s="99" t="str">
        <f>IF(D20=1,IF(P4&gt;0,IF(L4=TRUE,"加入者１ ",""),""),"")</f>
        <v/>
      </c>
      <c r="K4" s="253" t="b">
        <v>0</v>
      </c>
      <c r="L4" s="253" t="b">
        <f>AND(D20=1,K4=TRUE,C20&gt;1,C20&lt;6)</f>
        <v>0</v>
      </c>
      <c r="M4" s="254">
        <f>VLOOKUP(試算シート!R12,所得計算!B16:C26,2,1)</f>
        <v>0</v>
      </c>
      <c r="N4" s="255">
        <f t="shared" si="0"/>
        <v>0</v>
      </c>
      <c r="O4" s="255">
        <f t="shared" si="1"/>
        <v>0</v>
      </c>
      <c r="P4" s="254">
        <f t="shared" si="2"/>
        <v>0</v>
      </c>
      <c r="Q4" s="254">
        <f t="shared" ref="Q4:Q8" si="3">M4-O4</f>
        <v>0</v>
      </c>
      <c r="R4" s="256">
        <f>IF(L4=TRUE,P4*0.3,P4)</f>
        <v>0</v>
      </c>
      <c r="S4" s="62" t="str">
        <f>IF(J4="","",IF(J3="","加入者１","、加入者１"))</f>
        <v/>
      </c>
    </row>
    <row r="5" spans="1:19">
      <c r="A5" s="300"/>
      <c r="B5" s="301"/>
      <c r="C5" s="299" t="s">
        <v>106</v>
      </c>
      <c r="D5" s="294">
        <v>3</v>
      </c>
      <c r="E5" s="299" t="s">
        <v>129</v>
      </c>
      <c r="F5" s="294">
        <v>3</v>
      </c>
      <c r="G5" s="299" t="s">
        <v>128</v>
      </c>
      <c r="H5" s="296"/>
      <c r="J5" s="99" t="str">
        <f>IF(D21=1,IF(O5&gt;0,IF(L5=TRUE,"加入者２ ",""),""),"")</f>
        <v/>
      </c>
      <c r="K5" s="253" t="b">
        <v>0</v>
      </c>
      <c r="L5" s="253" t="b">
        <f>AND(D21=1,K5=TRUE,C21&gt;1,C21&lt;6)</f>
        <v>0</v>
      </c>
      <c r="M5" s="254">
        <f>VLOOKUP(試算シート!R14,所得計算!B29:C39,2,1)</f>
        <v>0</v>
      </c>
      <c r="N5" s="255">
        <f t="shared" si="0"/>
        <v>0</v>
      </c>
      <c r="O5" s="255">
        <f t="shared" si="1"/>
        <v>0</v>
      </c>
      <c r="P5" s="254">
        <f t="shared" si="2"/>
        <v>0</v>
      </c>
      <c r="Q5" s="254">
        <f t="shared" si="3"/>
        <v>0</v>
      </c>
      <c r="R5" s="256">
        <f>IF(L5=TRUE,P5*0.3,P5)</f>
        <v>0</v>
      </c>
      <c r="S5" s="62" t="str">
        <f>IF(J5="","",IF(AND(J3="",J4=""),"加入者２","、加入者２"))</f>
        <v/>
      </c>
    </row>
    <row r="6" spans="1:19">
      <c r="A6" s="112" t="s">
        <v>163</v>
      </c>
      <c r="B6" s="296"/>
      <c r="C6" s="299" t="s">
        <v>107</v>
      </c>
      <c r="D6" s="294">
        <v>4</v>
      </c>
      <c r="E6" s="299" t="s">
        <v>106</v>
      </c>
      <c r="F6" s="294">
        <v>4</v>
      </c>
      <c r="G6" s="302"/>
      <c r="H6" s="296"/>
      <c r="J6" s="99" t="str">
        <f>IF(D22=1,IF(O6&gt;0,IF(L6=TRUE,"加入者３ ",""),""),"")</f>
        <v/>
      </c>
      <c r="K6" s="253" t="b">
        <v>0</v>
      </c>
      <c r="L6" s="253" t="b">
        <f>AND(D22=1,K6=TRUE,C22&gt;1,C22&lt;6)</f>
        <v>0</v>
      </c>
      <c r="M6" s="254">
        <f>VLOOKUP(試算シート!R16,所得計算!B42:C52,2,1)</f>
        <v>0</v>
      </c>
      <c r="N6" s="255">
        <f t="shared" si="0"/>
        <v>0</v>
      </c>
      <c r="O6" s="255">
        <f t="shared" si="1"/>
        <v>0</v>
      </c>
      <c r="P6" s="254">
        <f t="shared" si="2"/>
        <v>0</v>
      </c>
      <c r="Q6" s="254">
        <f t="shared" si="3"/>
        <v>0</v>
      </c>
      <c r="R6" s="256">
        <f t="shared" ref="R6:R8" si="4">IF(L6=TRUE,P6*0.3,P6)</f>
        <v>0</v>
      </c>
      <c r="S6" s="62" t="str">
        <f>IF(J6="","",IF(AND(J3="",J4="",J5=""),"加入者３","、加入者３"))</f>
        <v/>
      </c>
    </row>
    <row r="7" spans="1:19">
      <c r="A7" s="296"/>
      <c r="B7" s="296"/>
      <c r="C7" s="299" t="s">
        <v>85</v>
      </c>
      <c r="D7" s="294">
        <v>5</v>
      </c>
      <c r="E7" s="303" t="s">
        <v>107</v>
      </c>
      <c r="F7" s="294">
        <v>5</v>
      </c>
      <c r="G7" s="296"/>
      <c r="H7" s="296"/>
      <c r="J7" s="99" t="str">
        <f>IF(D23=1,IF(O7&gt;0,IF(L7=TRUE,"加入者４ ",""),""),"")</f>
        <v/>
      </c>
      <c r="K7" s="253" t="b">
        <v>0</v>
      </c>
      <c r="L7" s="253" t="b">
        <f>AND(D23=1,K7=TRUE,C23&gt;1,C23&lt;6)</f>
        <v>0</v>
      </c>
      <c r="M7" s="254">
        <f>VLOOKUP(試算シート!R18,所得計算!B55:C65,2,1)</f>
        <v>0</v>
      </c>
      <c r="N7" s="255">
        <f t="shared" si="0"/>
        <v>0</v>
      </c>
      <c r="O7" s="255">
        <f t="shared" si="1"/>
        <v>0</v>
      </c>
      <c r="P7" s="254">
        <f t="shared" si="2"/>
        <v>0</v>
      </c>
      <c r="Q7" s="254">
        <f t="shared" si="3"/>
        <v>0</v>
      </c>
      <c r="R7" s="256">
        <f t="shared" si="4"/>
        <v>0</v>
      </c>
      <c r="S7" s="62" t="str">
        <f>IF(J7="","",IF(AND(J3="",J4="",J5="",J6=""),"加入者４","、加入者４"))</f>
        <v/>
      </c>
    </row>
    <row r="8" spans="1:19">
      <c r="A8" s="296"/>
      <c r="B8" s="296"/>
      <c r="C8" s="299"/>
      <c r="D8" s="304"/>
      <c r="E8" s="303"/>
      <c r="F8" s="304"/>
      <c r="G8" s="296"/>
      <c r="H8" s="296"/>
      <c r="J8" s="99" t="str">
        <f>IF(D24=1,IF(O8&gt;0,IF(L8=TRUE,"加入者５ ",""),""),"")</f>
        <v/>
      </c>
      <c r="K8" s="253" t="b">
        <v>0</v>
      </c>
      <c r="L8" s="253" t="b">
        <f>AND(D24=1,K8=TRUE,C24&gt;1,C24&lt;6)</f>
        <v>0</v>
      </c>
      <c r="M8" s="254">
        <f>VLOOKUP(試算シート!R20,所得計算!B68:C78,2,1)</f>
        <v>0</v>
      </c>
      <c r="N8" s="255">
        <f t="shared" si="0"/>
        <v>0</v>
      </c>
      <c r="O8" s="255">
        <f t="shared" si="1"/>
        <v>0</v>
      </c>
      <c r="P8" s="254">
        <f t="shared" si="2"/>
        <v>0</v>
      </c>
      <c r="Q8" s="254">
        <f t="shared" si="3"/>
        <v>0</v>
      </c>
      <c r="R8" s="256">
        <f t="shared" si="4"/>
        <v>0</v>
      </c>
      <c r="S8" s="62" t="str">
        <f>IF(J8="","",IF(AND(J3="",J4="",J5="",J6="",J7=""),"加入者５","、加入者５"))</f>
        <v/>
      </c>
    </row>
    <row r="9" spans="1:19">
      <c r="A9" s="296"/>
      <c r="B9" s="302"/>
      <c r="C9" s="296"/>
      <c r="D9" s="296"/>
      <c r="E9" s="296"/>
      <c r="F9" s="296"/>
      <c r="G9" s="296"/>
      <c r="H9" s="296"/>
      <c r="L9" s="108"/>
      <c r="M9" s="109"/>
      <c r="N9" s="110"/>
    </row>
    <row r="10" spans="1:19" ht="30" customHeight="1">
      <c r="B10" s="79" t="s">
        <v>24</v>
      </c>
      <c r="C10" s="80"/>
      <c r="D10" s="80"/>
      <c r="E10" s="80"/>
      <c r="F10" s="80"/>
      <c r="L10" s="111"/>
    </row>
    <row r="11" spans="1:19" ht="30" customHeight="1">
      <c r="B11" s="142"/>
      <c r="C11" s="143" t="s">
        <v>16</v>
      </c>
      <c r="D11" s="143" t="s">
        <v>18</v>
      </c>
      <c r="E11" s="305" t="s">
        <v>143</v>
      </c>
      <c r="F11" s="143" t="s">
        <v>130</v>
      </c>
      <c r="G11" s="144" t="s">
        <v>19</v>
      </c>
      <c r="H11" s="144" t="s">
        <v>41</v>
      </c>
    </row>
    <row r="12" spans="1:19" ht="30" customHeight="1">
      <c r="B12" s="81" t="s">
        <v>9</v>
      </c>
      <c r="C12" s="82">
        <v>6.6500000000000004E-2</v>
      </c>
      <c r="D12" s="291">
        <v>19800</v>
      </c>
      <c r="E12" s="306" t="s">
        <v>144</v>
      </c>
      <c r="F12" s="291">
        <v>13900</v>
      </c>
      <c r="G12" s="291">
        <v>670000</v>
      </c>
      <c r="H12" s="292">
        <v>430000</v>
      </c>
    </row>
    <row r="13" spans="1:19" ht="30" customHeight="1">
      <c r="B13" s="81" t="s">
        <v>20</v>
      </c>
      <c r="C13" s="83">
        <v>3.1099999999999999E-2</v>
      </c>
      <c r="D13" s="293">
        <v>9000</v>
      </c>
      <c r="E13" s="307" t="s">
        <v>144</v>
      </c>
      <c r="F13" s="293">
        <v>6300</v>
      </c>
      <c r="G13" s="293">
        <v>260000</v>
      </c>
      <c r="H13" s="294"/>
    </row>
    <row r="14" spans="1:19" ht="30" customHeight="1">
      <c r="B14" s="81" t="s">
        <v>11</v>
      </c>
      <c r="C14" s="84">
        <v>2.47E-2</v>
      </c>
      <c r="D14" s="295">
        <v>8800</v>
      </c>
      <c r="E14" s="308" t="s">
        <v>144</v>
      </c>
      <c r="F14" s="295">
        <v>4500</v>
      </c>
      <c r="G14" s="295">
        <v>170000</v>
      </c>
      <c r="H14" s="294"/>
    </row>
    <row r="15" spans="1:19" ht="30" customHeight="1">
      <c r="B15" s="284" t="s">
        <v>141</v>
      </c>
      <c r="C15" s="84">
        <v>2.8E-3</v>
      </c>
      <c r="D15" s="295">
        <v>1200</v>
      </c>
      <c r="E15" s="309">
        <v>100</v>
      </c>
      <c r="F15" s="295">
        <v>800</v>
      </c>
      <c r="G15" s="295">
        <v>30000</v>
      </c>
      <c r="H15" s="294"/>
    </row>
    <row r="16" spans="1:19">
      <c r="I16" s="85" t="str">
        <f>IF(SUM(M3:M8)=0,"",IF(ISNA(VLOOKUP(TRUE,L3:L8,1,FALSE)),"",J3&amp;S4&amp;S5&amp;S6&amp;S7&amp;S8&amp;"は給与所得を１００分の３０とみなして保険料を算出しています。"))</f>
        <v/>
      </c>
    </row>
    <row r="17" spans="1:22">
      <c r="C17" s="296" t="s">
        <v>89</v>
      </c>
      <c r="D17" s="296"/>
      <c r="E17" s="296"/>
      <c r="F17" s="296"/>
      <c r="G17" s="296"/>
    </row>
    <row r="18" spans="1:22">
      <c r="A18" s="62" t="s">
        <v>86</v>
      </c>
      <c r="B18" s="115"/>
      <c r="C18" s="314" t="s">
        <v>36</v>
      </c>
      <c r="D18" s="314" t="s">
        <v>26</v>
      </c>
      <c r="E18" s="314" t="s">
        <v>28</v>
      </c>
      <c r="F18" s="587" t="s">
        <v>157</v>
      </c>
      <c r="G18" s="588"/>
      <c r="H18" s="114" t="s">
        <v>68</v>
      </c>
      <c r="I18" s="114" t="s">
        <v>69</v>
      </c>
      <c r="J18" s="245" t="s">
        <v>140</v>
      </c>
      <c r="K18" s="114" t="s">
        <v>67</v>
      </c>
      <c r="L18" s="114" t="s">
        <v>6</v>
      </c>
      <c r="M18" s="114" t="s">
        <v>77</v>
      </c>
      <c r="N18" s="114" t="s">
        <v>33</v>
      </c>
      <c r="O18" s="114" t="s">
        <v>34</v>
      </c>
      <c r="P18" s="114" t="s">
        <v>35</v>
      </c>
      <c r="Q18" s="310" t="s">
        <v>153</v>
      </c>
      <c r="R18" s="116" t="s">
        <v>76</v>
      </c>
    </row>
    <row r="19" spans="1:22">
      <c r="A19" s="62">
        <v>1</v>
      </c>
      <c r="B19" s="86" t="s">
        <v>0</v>
      </c>
      <c r="C19" s="315">
        <v>2</v>
      </c>
      <c r="D19" s="316">
        <f>IF(OR(A19=2,C19=5),0,1)</f>
        <v>1</v>
      </c>
      <c r="E19" s="316">
        <f>IF(A19=2,0,IF(C19=3,1,0))</f>
        <v>0</v>
      </c>
      <c r="F19" s="313" t="b">
        <v>1</v>
      </c>
      <c r="G19" s="313">
        <f>IF(F19=FALSE,0,1)</f>
        <v>1</v>
      </c>
      <c r="H19" s="257">
        <f>R3</f>
        <v>1320000</v>
      </c>
      <c r="I19" s="147">
        <f>IF(C19&gt;3,VLOOKUP(試算シート!Y10,所得計算!G4:H8,2,1),VLOOKUP(試算シート!Y10,所得計算!E4:F8,2,1))</f>
        <v>0</v>
      </c>
      <c r="J19" s="257">
        <f>IF(C19&lt;4,I19,MAX(I19-150000,0))</f>
        <v>0</v>
      </c>
      <c r="K19" s="147">
        <f>試算シート!AF10</f>
        <v>0</v>
      </c>
      <c r="L19" s="175">
        <f>H19+I19+K19</f>
        <v>1320000</v>
      </c>
      <c r="M19" s="175">
        <f>IF(C19&lt;4,H19+I19+K19,Q3+J19+K19)</f>
        <v>1320000</v>
      </c>
      <c r="N19" s="175">
        <f t="shared" ref="N19:N24" si="5">IF(D19=0,0,IF(L19-430000&lt;=0,0,(L19-430000)*$C$12))</f>
        <v>59185</v>
      </c>
      <c r="O19" s="175">
        <f t="shared" ref="O19:O24" si="6">IF(D19=0,0,IF(L19-430000&lt;=0,0,(L19-430000)*$C$13))</f>
        <v>27679</v>
      </c>
      <c r="P19" s="258">
        <f t="shared" ref="P19:P24" si="7">IF(E19=0,0,IF(L19-430000&lt;=0,0,(L19-430000)*$C$14))</f>
        <v>0</v>
      </c>
      <c r="Q19" s="340">
        <f t="shared" ref="Q19:Q24" si="8">IF(D19=0,0,IF(L19-430000&lt;=0,0,(L19-430000)*$C$15))</f>
        <v>2492</v>
      </c>
      <c r="R19" s="62">
        <f t="shared" ref="R19:R24" si="9">IF(OR(H19&gt;0,I19&gt;0,0),1,0)</f>
        <v>1</v>
      </c>
    </row>
    <row r="20" spans="1:22">
      <c r="B20" s="87" t="s">
        <v>1</v>
      </c>
      <c r="C20" s="315">
        <v>1</v>
      </c>
      <c r="D20" s="316">
        <f>IF(C20=1,0,1)</f>
        <v>0</v>
      </c>
      <c r="E20" s="316">
        <f>IF(C20=4,1,0)</f>
        <v>0</v>
      </c>
      <c r="F20" s="312" t="b">
        <v>0</v>
      </c>
      <c r="G20" s="313">
        <f t="shared" ref="G20:G24" si="10">IF(F20=FALSE,0,1)</f>
        <v>0</v>
      </c>
      <c r="H20" s="257">
        <f>IF(D20=0,0,R4)</f>
        <v>0</v>
      </c>
      <c r="I20" s="147">
        <f>IF(D20=0,0,IF(C20=5,VLOOKUP(試算シート!Y12,所得計算!G17:H21,2,1),VLOOKUP(試算シート!Y12,所得計算!E17:F21,2,1)))</f>
        <v>0</v>
      </c>
      <c r="J20" s="257">
        <f>IF(C20&lt;5,I20,MAX(I20-150000,0))</f>
        <v>0</v>
      </c>
      <c r="K20" s="147">
        <f>IF(D20=0,0,試算シート!AF12)</f>
        <v>0</v>
      </c>
      <c r="L20" s="175">
        <f t="shared" ref="L20:L24" si="11">H20+I20+K20</f>
        <v>0</v>
      </c>
      <c r="M20" s="175">
        <f>IF(C20&lt;5,H20+I20+K20,Q4+J20+K20)</f>
        <v>0</v>
      </c>
      <c r="N20" s="175">
        <f t="shared" si="5"/>
        <v>0</v>
      </c>
      <c r="O20" s="175">
        <f t="shared" si="6"/>
        <v>0</v>
      </c>
      <c r="P20" s="258">
        <f t="shared" si="7"/>
        <v>0</v>
      </c>
      <c r="Q20" s="340">
        <f t="shared" si="8"/>
        <v>0</v>
      </c>
      <c r="R20" s="62">
        <f t="shared" si="9"/>
        <v>0</v>
      </c>
    </row>
    <row r="21" spans="1:22">
      <c r="B21" s="87" t="s">
        <v>2</v>
      </c>
      <c r="C21" s="315">
        <v>1</v>
      </c>
      <c r="D21" s="316">
        <f t="shared" ref="D21:D24" si="12">IF(C21=1,0,1)</f>
        <v>0</v>
      </c>
      <c r="E21" s="316">
        <f>IF(C21=4,1,0)</f>
        <v>0</v>
      </c>
      <c r="F21" s="312" t="b">
        <v>0</v>
      </c>
      <c r="G21" s="313">
        <f t="shared" si="10"/>
        <v>0</v>
      </c>
      <c r="H21" s="257">
        <f>IF(D21=0,0,R5)</f>
        <v>0</v>
      </c>
      <c r="I21" s="147">
        <f>IF(D21=0,0,IF(C21=5,VLOOKUP(試算シート!Y14,所得計算!G30:H34,2,1),VLOOKUP(試算シート!Y14,所得計算!E30:F34,2,1)))</f>
        <v>0</v>
      </c>
      <c r="J21" s="257">
        <f>IF(C21&lt;5,I21,MAX(I21-150000,0))</f>
        <v>0</v>
      </c>
      <c r="K21" s="147">
        <f>IF(D21=0,0,試算シート!AF14)</f>
        <v>0</v>
      </c>
      <c r="L21" s="175">
        <f t="shared" si="11"/>
        <v>0</v>
      </c>
      <c r="M21" s="175">
        <f>IF(C21&lt;5,H21+I21+K21,Q5+J21+K21)</f>
        <v>0</v>
      </c>
      <c r="N21" s="175">
        <f t="shared" si="5"/>
        <v>0</v>
      </c>
      <c r="O21" s="175">
        <f t="shared" si="6"/>
        <v>0</v>
      </c>
      <c r="P21" s="258">
        <f t="shared" si="7"/>
        <v>0</v>
      </c>
      <c r="Q21" s="340">
        <f t="shared" si="8"/>
        <v>0</v>
      </c>
      <c r="R21" s="62">
        <f t="shared" si="9"/>
        <v>0</v>
      </c>
    </row>
    <row r="22" spans="1:22">
      <c r="B22" s="87" t="s">
        <v>3</v>
      </c>
      <c r="C22" s="315">
        <v>1</v>
      </c>
      <c r="D22" s="316">
        <f t="shared" si="12"/>
        <v>0</v>
      </c>
      <c r="E22" s="316">
        <f>IF(C22=4,1,0)</f>
        <v>0</v>
      </c>
      <c r="F22" s="312" t="b">
        <v>0</v>
      </c>
      <c r="G22" s="313">
        <f t="shared" si="10"/>
        <v>0</v>
      </c>
      <c r="H22" s="257">
        <f>IF(D22=0,0,R6)</f>
        <v>0</v>
      </c>
      <c r="I22" s="147">
        <f>IF(D22=0,0,IF(C22=5,VLOOKUP(試算シート!Y16,所得計算!G43:H47,2,1),VLOOKUP(試算シート!Y16,所得計算!E43:F47,2,1)))</f>
        <v>0</v>
      </c>
      <c r="J22" s="257">
        <f>IF(C22&lt;5,I22,MAX(I22-150000,0))</f>
        <v>0</v>
      </c>
      <c r="K22" s="147">
        <f>IF(D22=0,0,試算シート!AF16)</f>
        <v>0</v>
      </c>
      <c r="L22" s="175">
        <f t="shared" si="11"/>
        <v>0</v>
      </c>
      <c r="M22" s="175">
        <f>IF(C22&lt;5,H22+I22+K22,Q6+J22+K22)</f>
        <v>0</v>
      </c>
      <c r="N22" s="175">
        <f t="shared" si="5"/>
        <v>0</v>
      </c>
      <c r="O22" s="175">
        <f t="shared" si="6"/>
        <v>0</v>
      </c>
      <c r="P22" s="258">
        <f t="shared" si="7"/>
        <v>0</v>
      </c>
      <c r="Q22" s="340">
        <f t="shared" si="8"/>
        <v>0</v>
      </c>
      <c r="R22" s="62">
        <f t="shared" si="9"/>
        <v>0</v>
      </c>
    </row>
    <row r="23" spans="1:22">
      <c r="B23" s="87" t="s">
        <v>4</v>
      </c>
      <c r="C23" s="315">
        <v>1</v>
      </c>
      <c r="D23" s="316">
        <f t="shared" si="12"/>
        <v>0</v>
      </c>
      <c r="E23" s="316">
        <f>IF(C23=4,1,0)</f>
        <v>0</v>
      </c>
      <c r="F23" s="312" t="b">
        <v>0</v>
      </c>
      <c r="G23" s="313">
        <f t="shared" si="10"/>
        <v>0</v>
      </c>
      <c r="H23" s="257">
        <f>IF(D23=0,0,R7)</f>
        <v>0</v>
      </c>
      <c r="I23" s="147">
        <f>IF(D23=0,0,IF(C23=5,VLOOKUP(試算シート!Y18,所得計算!G56:H60,2,1),VLOOKUP(試算シート!Y18,所得計算!E56:F60,2,1)))</f>
        <v>0</v>
      </c>
      <c r="J23" s="257">
        <f>IF(C23&lt;5,I23,MAX(I23-150000,0))</f>
        <v>0</v>
      </c>
      <c r="K23" s="147">
        <f>IF(D23=0,0,試算シート!AF18)</f>
        <v>0</v>
      </c>
      <c r="L23" s="175">
        <f t="shared" si="11"/>
        <v>0</v>
      </c>
      <c r="M23" s="175">
        <f>IF(C23&lt;5,H23+I23+K23,Q7+J23+K23)</f>
        <v>0</v>
      </c>
      <c r="N23" s="175">
        <f t="shared" si="5"/>
        <v>0</v>
      </c>
      <c r="O23" s="175">
        <f t="shared" si="6"/>
        <v>0</v>
      </c>
      <c r="P23" s="258">
        <f t="shared" si="7"/>
        <v>0</v>
      </c>
      <c r="Q23" s="340">
        <f t="shared" si="8"/>
        <v>0</v>
      </c>
      <c r="R23" s="62">
        <f t="shared" si="9"/>
        <v>0</v>
      </c>
    </row>
    <row r="24" spans="1:22">
      <c r="B24" s="87" t="s">
        <v>5</v>
      </c>
      <c r="C24" s="315">
        <v>1</v>
      </c>
      <c r="D24" s="316">
        <f t="shared" si="12"/>
        <v>0</v>
      </c>
      <c r="E24" s="316">
        <f>IF(C24=4,1,0)</f>
        <v>0</v>
      </c>
      <c r="F24" s="312" t="b">
        <v>0</v>
      </c>
      <c r="G24" s="313">
        <f t="shared" si="10"/>
        <v>0</v>
      </c>
      <c r="H24" s="257">
        <f>IF(D24=0,0,R8)</f>
        <v>0</v>
      </c>
      <c r="I24" s="147">
        <f>IF(D24=0,0,IF(C24=5,VLOOKUP(試算シート!Y20,所得計算!G69:H73,2,1),VLOOKUP(試算シート!Y20,所得計算!E69:F73,2,1)))</f>
        <v>0</v>
      </c>
      <c r="J24" s="257">
        <f>IF(C24&lt;5,I24,MAX(I24-150000,0))</f>
        <v>0</v>
      </c>
      <c r="K24" s="147">
        <f>IF(D24=0,0,試算シート!AF20)</f>
        <v>0</v>
      </c>
      <c r="L24" s="175">
        <f t="shared" si="11"/>
        <v>0</v>
      </c>
      <c r="M24" s="175">
        <f>IF(C24&lt;5,H24+I24+K24,Q8+J24+K24)</f>
        <v>0</v>
      </c>
      <c r="N24" s="175">
        <f t="shared" si="5"/>
        <v>0</v>
      </c>
      <c r="O24" s="175">
        <f t="shared" si="6"/>
        <v>0</v>
      </c>
      <c r="P24" s="258">
        <f t="shared" si="7"/>
        <v>0</v>
      </c>
      <c r="Q24" s="340">
        <f t="shared" si="8"/>
        <v>0</v>
      </c>
      <c r="R24" s="62">
        <f t="shared" si="9"/>
        <v>0</v>
      </c>
    </row>
    <row r="25" spans="1:22">
      <c r="B25" s="87" t="s">
        <v>14</v>
      </c>
      <c r="C25" s="315"/>
      <c r="D25" s="316">
        <f>SUM(D19:D24)</f>
        <v>1</v>
      </c>
      <c r="E25" s="316">
        <f>SUM(E19:E24)</f>
        <v>0</v>
      </c>
      <c r="F25" s="312"/>
      <c r="G25" s="312">
        <f>SUM(G19:G24)</f>
        <v>1</v>
      </c>
      <c r="H25" s="257">
        <f t="shared" ref="H25" si="13">SUM(H19:H24)</f>
        <v>1320000</v>
      </c>
      <c r="I25" s="147">
        <f>SUM(I19:I24)</f>
        <v>0</v>
      </c>
      <c r="J25" s="257">
        <f t="shared" ref="J25" si="14">SUM(J19:J24)</f>
        <v>0</v>
      </c>
      <c r="K25" s="257">
        <f>SUM(K19:K24)</f>
        <v>0</v>
      </c>
      <c r="L25" s="175">
        <f>SUM(H25:K25)</f>
        <v>1320000</v>
      </c>
      <c r="M25" s="175">
        <f>SUM(M19:M24)</f>
        <v>1320000</v>
      </c>
      <c r="N25" s="175">
        <f>ROUNDDOWN(SUM(N19:N24),0)</f>
        <v>59185</v>
      </c>
      <c r="O25" s="175">
        <f>ROUNDDOWN(SUM(O19:O24),0)</f>
        <v>27679</v>
      </c>
      <c r="P25" s="175">
        <f>ROUNDDOWN(SUM(P19:P24),0)</f>
        <v>0</v>
      </c>
      <c r="Q25" s="341">
        <f>ROUNDDOWN(SUM(Q19:Q24),0)</f>
        <v>2492</v>
      </c>
      <c r="R25" s="62">
        <f>SUM(R19:R24)</f>
        <v>1</v>
      </c>
    </row>
    <row r="26" spans="1:22">
      <c r="B26" s="89"/>
      <c r="C26" s="90"/>
      <c r="D26" s="89"/>
      <c r="E26" s="89"/>
      <c r="F26" s="91"/>
      <c r="G26" s="91"/>
    </row>
    <row r="27" spans="1:22" ht="35.25" customHeight="1">
      <c r="B27" s="245" t="s">
        <v>31</v>
      </c>
      <c r="C27" s="245" t="s">
        <v>159</v>
      </c>
      <c r="D27" s="245" t="s">
        <v>30</v>
      </c>
      <c r="E27" s="245" t="s">
        <v>160</v>
      </c>
      <c r="F27" s="245" t="s">
        <v>29</v>
      </c>
      <c r="G27" s="245" t="s">
        <v>161</v>
      </c>
      <c r="H27" s="311" t="s">
        <v>146</v>
      </c>
      <c r="I27" s="311" t="s">
        <v>162</v>
      </c>
      <c r="J27" s="311" t="s">
        <v>145</v>
      </c>
      <c r="K27" s="153"/>
      <c r="M27" s="153"/>
      <c r="N27" s="153"/>
      <c r="O27" s="153"/>
      <c r="R27" s="117" t="s">
        <v>90</v>
      </c>
      <c r="S27" s="117" t="s">
        <v>91</v>
      </c>
      <c r="T27" s="117" t="s">
        <v>92</v>
      </c>
      <c r="U27" s="117" t="s">
        <v>93</v>
      </c>
    </row>
    <row r="28" spans="1:22">
      <c r="B28" s="246">
        <f>IF(D19=0,0,ROUNDUP(D12*VLOOKUP("○",G47:H50,2,FALSE),0))</f>
        <v>19800</v>
      </c>
      <c r="C28" s="247"/>
      <c r="D28" s="246">
        <f>IF(D19=0,0,ROUNDUP(D13*VLOOKUP("○",G47:I50,2,FALSE),0))</f>
        <v>9000</v>
      </c>
      <c r="E28" s="247"/>
      <c r="F28" s="246">
        <f>IF(E19=0,0,ROUNDUP(D14*VLOOKUP("○",G47:I50,2,FALSE),0))</f>
        <v>0</v>
      </c>
      <c r="G28" s="259"/>
      <c r="H28" s="317">
        <f>IF(D19=0,0,ROUNDUP(D15*VLOOKUP("○",G47:I50,2,FALSE),0))</f>
        <v>1200</v>
      </c>
      <c r="I28" s="318"/>
      <c r="J28" s="317">
        <f>IF(G19=0,0,ROUNDUP(E15*VLOOKUP("○",G47:I50,2,FALSE),0))</f>
        <v>100</v>
      </c>
      <c r="K28" s="249"/>
      <c r="M28" s="249"/>
      <c r="N28" s="249"/>
      <c r="O28" s="249"/>
      <c r="Q28" s="62" t="s">
        <v>113</v>
      </c>
      <c r="R28" s="148">
        <f>IF(D25=0,0,IF(D25*D12+F12+M25-B34-C34-H43&gt;600000,600000,D25*D12+F12+M25-B34-C34-H43))</f>
        <v>600000</v>
      </c>
      <c r="S28" s="148">
        <f>IF(D25=0,0,IF(D25*D13+F13+N25-D34-E34-I43&gt;190000,190000,D25*D13+F13+N25-D34-E34-I43))</f>
        <v>59185</v>
      </c>
      <c r="T28" s="148">
        <f>IF(O25+F34+G34&gt;170000,170000,O25+F34+G34)</f>
        <v>27679</v>
      </c>
      <c r="U28" s="148">
        <f>SUM(R28:T28)</f>
        <v>686864</v>
      </c>
    </row>
    <row r="29" spans="1:22">
      <c r="B29" s="246">
        <f>IF(D20=0,0,ROUNDUP(D12*VLOOKUP("○",G47:I50,2,FALSE),0))</f>
        <v>0</v>
      </c>
      <c r="C29" s="246"/>
      <c r="D29" s="246">
        <f>IF(D20=0,0,ROUNDUP(D13*VLOOKUP("○",G47:I50,2,FALSE),0))</f>
        <v>0</v>
      </c>
      <c r="E29" s="247"/>
      <c r="F29" s="246">
        <f>IF(E20=0,0,ROUNDUP(D14*VLOOKUP("○",G47:I50,2,FALSE),0))</f>
        <v>0</v>
      </c>
      <c r="G29" s="259"/>
      <c r="H29" s="317">
        <f>IF(D20=0,0,ROUNDUP(D15*VLOOKUP("○",G47:I50,2,FALSE),0))</f>
        <v>0</v>
      </c>
      <c r="I29" s="318"/>
      <c r="J29" s="317">
        <f>IF(G20=0,0,ROUNDUP(E15*VLOOKUP("○",G47:I50,2,FALSE),0))</f>
        <v>0</v>
      </c>
      <c r="K29" s="249"/>
      <c r="M29" s="249"/>
      <c r="N29" s="249"/>
      <c r="O29" s="249"/>
      <c r="Q29" s="62" t="s">
        <v>94</v>
      </c>
      <c r="R29" s="148">
        <f>ROUNDDOWN(R28,-2)</f>
        <v>600000</v>
      </c>
      <c r="S29" s="148">
        <f t="shared" ref="S29:T29" si="15">ROUNDDOWN(S28,-2)</f>
        <v>59100</v>
      </c>
      <c r="T29" s="148">
        <f t="shared" si="15"/>
        <v>27600</v>
      </c>
      <c r="U29" s="148">
        <f>SUM(R29:T29)</f>
        <v>686700</v>
      </c>
      <c r="V29" s="62" t="s">
        <v>101</v>
      </c>
    </row>
    <row r="30" spans="1:22">
      <c r="B30" s="246">
        <f>IF(D21=0,0,ROUNDUP(D12*VLOOKUP("○",G47:I50,2,FALSE),0))</f>
        <v>0</v>
      </c>
      <c r="C30" s="246"/>
      <c r="D30" s="246">
        <f>IF(D21=0,0,ROUNDUP(D13*VLOOKUP("○",G47:I50,2,FALSE),0))</f>
        <v>0</v>
      </c>
      <c r="E30" s="247"/>
      <c r="F30" s="246">
        <f>IF(E21=0,0,ROUNDUP(D14*VLOOKUP("○",G47:I50,2,FALSE),0))</f>
        <v>0</v>
      </c>
      <c r="G30" s="259"/>
      <c r="H30" s="317">
        <f>IF(D21=0,0,ROUNDUP(D15*VLOOKUP("○",G47:I50,2,FALSE),0))</f>
        <v>0</v>
      </c>
      <c r="I30" s="318"/>
      <c r="J30" s="317">
        <f>IF(G21=0,0,ROUNDUP(E15*VLOOKUP("○",G47:I50,2,FALSE),0))</f>
        <v>0</v>
      </c>
      <c r="K30" s="249"/>
      <c r="M30" s="249"/>
      <c r="N30" s="249"/>
      <c r="O30" s="249"/>
      <c r="R30" s="148"/>
      <c r="S30" s="148"/>
      <c r="T30" s="148"/>
      <c r="U30" s="148"/>
    </row>
    <row r="31" spans="1:22">
      <c r="B31" s="246">
        <f>IF(D22=0,0,ROUNDUP(D12*VLOOKUP("○",G47:I50,2,FALSE),0))</f>
        <v>0</v>
      </c>
      <c r="C31" s="246"/>
      <c r="D31" s="246">
        <f>IF(D22=0,0,ROUNDUP(D13*VLOOKUP("○",G47:I50,2,FALSE),0))</f>
        <v>0</v>
      </c>
      <c r="E31" s="247"/>
      <c r="F31" s="246">
        <f>IF(E22=0,0,ROUNDUP(D14*VLOOKUP("○",G47:I50,2,FALSE),0))</f>
        <v>0</v>
      </c>
      <c r="G31" s="259"/>
      <c r="H31" s="317">
        <f>IF(D22=0,0,ROUNDUP(D15*VLOOKUP("○",G47:I50,2,FALSE),0))</f>
        <v>0</v>
      </c>
      <c r="I31" s="318"/>
      <c r="J31" s="317">
        <f>IF(G22=0,0,ROUNDUP(E15*VLOOKUP("○",G47:I50,2,FALSE),0))</f>
        <v>0</v>
      </c>
      <c r="K31" s="249"/>
      <c r="M31" s="249"/>
      <c r="N31" s="249"/>
      <c r="O31" s="249"/>
      <c r="Q31" s="62" t="s">
        <v>95</v>
      </c>
      <c r="R31" s="148">
        <f>R28-I34</f>
        <v>599200</v>
      </c>
      <c r="S31" s="148">
        <f>S28-J34</f>
        <v>59085</v>
      </c>
      <c r="T31" s="148">
        <f>T28</f>
        <v>27679</v>
      </c>
      <c r="U31" s="148">
        <f>SUM(R31:T31)</f>
        <v>685964</v>
      </c>
    </row>
    <row r="32" spans="1:22">
      <c r="B32" s="246">
        <f>IF(D23=0,0,ROUNDUP(D12*VLOOKUP("○",G47:I50,2,FALSE),0))</f>
        <v>0</v>
      </c>
      <c r="C32" s="246"/>
      <c r="D32" s="246">
        <f>IF(D23=0,0,ROUNDUP(D13*VLOOKUP("○",G47:I50,2,FALSE),0))</f>
        <v>0</v>
      </c>
      <c r="E32" s="247"/>
      <c r="F32" s="246">
        <f>IF(E23=0,0,ROUNDUP(D14*VLOOKUP("○",G47:I50,2,FALSE),0))</f>
        <v>0</v>
      </c>
      <c r="G32" s="259"/>
      <c r="H32" s="317">
        <f>IF(D23=0,0,ROUNDUP(D15*VLOOKUP("○",G47:I50,2,FALSE),0))</f>
        <v>0</v>
      </c>
      <c r="I32" s="318"/>
      <c r="J32" s="317">
        <f>IF(G23=0,0,ROUNDUP(E15*VLOOKUP("○",G47:I50,2,FALSE),0))</f>
        <v>0</v>
      </c>
      <c r="K32" s="249"/>
      <c r="M32" s="249"/>
      <c r="N32" s="249"/>
      <c r="O32" s="249"/>
      <c r="Q32" s="62" t="s">
        <v>94</v>
      </c>
      <c r="R32" s="148">
        <f>ROUNDDOWN(R31,-2)</f>
        <v>599200</v>
      </c>
      <c r="S32" s="148">
        <f t="shared" ref="S32" si="16">ROUNDDOWN(S31,-2)</f>
        <v>59000</v>
      </c>
      <c r="T32" s="148">
        <f t="shared" ref="T32" si="17">ROUNDDOWN(T31,-2)</f>
        <v>27600</v>
      </c>
      <c r="U32" s="148">
        <f>SUM(R32:T32)</f>
        <v>685800</v>
      </c>
      <c r="V32" s="62" t="s">
        <v>102</v>
      </c>
    </row>
    <row r="33" spans="1:21">
      <c r="B33" s="246">
        <f>IF(D24=0,0,ROUNDUP(D12*VLOOKUP("○",G47:I50,2,FALSE),0))</f>
        <v>0</v>
      </c>
      <c r="C33" s="246"/>
      <c r="D33" s="246">
        <f>IF(D24=0,0,ROUNDUP(D13*VLOOKUP("○",G47:I50,2,FALSE),0))</f>
        <v>0</v>
      </c>
      <c r="E33" s="247"/>
      <c r="F33" s="246">
        <f>IF(E24=0,0,ROUNDUP(D14*VLOOKUP("○",G47:I50,2,FALSE),0))</f>
        <v>0</v>
      </c>
      <c r="G33" s="259"/>
      <c r="H33" s="317">
        <f>IF(D24=0,0,ROUNDUP(D15*VLOOKUP("○",G47:I50,2,FALSE),0))</f>
        <v>0</v>
      </c>
      <c r="I33" s="318"/>
      <c r="J33" s="317">
        <f>IF(G24=0,0,ROUNDUP(E15*VLOOKUP("○",G47:I50,2,FALSE),0))</f>
        <v>0</v>
      </c>
      <c r="K33" s="249"/>
      <c r="M33" s="249"/>
      <c r="N33" s="249"/>
      <c r="O33" s="249"/>
    </row>
    <row r="34" spans="1:21">
      <c r="A34" s="62" t="s">
        <v>75</v>
      </c>
      <c r="B34" s="248">
        <f>SUM(B28:B33)</f>
        <v>19800</v>
      </c>
      <c r="C34" s="248">
        <f>ROUNDUP(F12*VLOOKUP("○",G47:I50,2,FALSE),0)</f>
        <v>13900</v>
      </c>
      <c r="D34" s="248">
        <f>SUM(D28:D33)</f>
        <v>9000</v>
      </c>
      <c r="E34" s="248">
        <f>ROUNDUP(F13*VLOOKUP("○",G47:I50,2,FALSE),0)</f>
        <v>6300</v>
      </c>
      <c r="F34" s="248">
        <f>SUM(F28:F33)</f>
        <v>0</v>
      </c>
      <c r="G34" s="248">
        <f>IF(C38&gt;0,ROUNDUP(F14*VLOOKUP("○",G47:I50,2,FALSE),0),0)</f>
        <v>0</v>
      </c>
      <c r="H34" s="319">
        <f>SUM(H28:H33)</f>
        <v>1200</v>
      </c>
      <c r="I34" s="319">
        <f>ROUNDUP(F15*VLOOKUP("○",G47:I50,2,FALSE),0)</f>
        <v>800</v>
      </c>
      <c r="J34" s="319">
        <f>SUM(J28:J33)</f>
        <v>100</v>
      </c>
      <c r="K34" s="244"/>
      <c r="M34" s="244"/>
      <c r="N34" s="244"/>
      <c r="O34" s="244"/>
      <c r="Q34" s="62" t="s">
        <v>100</v>
      </c>
      <c r="U34" s="150">
        <f>U29-U32</f>
        <v>900</v>
      </c>
    </row>
    <row r="35" spans="1:21" ht="16.5" thickBot="1">
      <c r="I35" s="102"/>
      <c r="J35" s="102"/>
      <c r="K35" s="109"/>
      <c r="Q35" s="62" t="s">
        <v>96</v>
      </c>
      <c r="R35" s="117"/>
      <c r="S35" s="118"/>
      <c r="T35" s="62" t="s">
        <v>99</v>
      </c>
    </row>
    <row r="36" spans="1:21">
      <c r="B36" s="92" t="s">
        <v>27</v>
      </c>
      <c r="C36" s="88">
        <f>$D$19</f>
        <v>1</v>
      </c>
      <c r="G36" s="321" t="s">
        <v>108</v>
      </c>
      <c r="H36" s="322" t="s">
        <v>110</v>
      </c>
      <c r="I36" s="323" t="s">
        <v>111</v>
      </c>
      <c r="J36" s="333" t="s">
        <v>147</v>
      </c>
      <c r="K36" s="333" t="s">
        <v>148</v>
      </c>
      <c r="L36" s="324" t="s">
        <v>109</v>
      </c>
      <c r="M36" s="159"/>
      <c r="N36" s="302" t="s">
        <v>112</v>
      </c>
      <c r="O36" s="296"/>
      <c r="Q36" s="62" t="s">
        <v>97</v>
      </c>
      <c r="R36" s="149">
        <f>U34-S36</f>
        <v>800</v>
      </c>
      <c r="S36" s="149">
        <f>IF(U34=0,0,IF(ROUNDDOWN(I34,-2)+ROUNDDOWN(J34,-2)=U34,ROUNDDOWN(J34,-2),IF(ROUND(I34,-2)+ROUND(J34,-2)=U34,ROUND(J34,-2),IF(ROUNDUP(I34,-2)+ROUNDUP(J34,-2)=U34,ROUNDUP(J34,-2),IF(RIGHT(I34,2)&gt;RIGHT(J34,2),ROUNDDOWN(J34,-2),ROUNDUP(J34,-2))))))</f>
        <v>100</v>
      </c>
    </row>
    <row r="37" spans="1:21">
      <c r="B37" s="92" t="s">
        <v>25</v>
      </c>
      <c r="C37" s="77">
        <f>$D$19+$D$20+$D$21+$D$22+$D$23+$D$24</f>
        <v>1</v>
      </c>
      <c r="G37" s="325" t="str">
        <f>IF(C19=1,1,"")</f>
        <v/>
      </c>
      <c r="H37" s="326" t="str">
        <f t="shared" ref="H37:H42" si="18">IF(G37="","",IF($D$12=B28,ROUNDUP($D$12,0)*0.5,ROUNDUP(($D$12-B28)*0.5,0)))</f>
        <v/>
      </c>
      <c r="I37" s="327" t="str">
        <f t="shared" ref="I37:I42" si="19">IF(G37="","",IF($D$13=D28,ROUNDUP($D$13,0)*0.5,ROUNDUP(($D$13-D28)*0.5,0)))</f>
        <v/>
      </c>
      <c r="J37" s="334" t="str">
        <f>IF(G37="","",IF($D$13=H28,ROUNDUP($D$13,0)*0.5,ROUNDUP(($D$13-H28)*0.5,0)))</f>
        <v/>
      </c>
      <c r="K37" s="334">
        <v>0</v>
      </c>
      <c r="L37" s="328">
        <f>SUM(H37:K37)</f>
        <v>0</v>
      </c>
      <c r="M37" s="153">
        <f>IF(AND(A19=1,C19=2),1,"")</f>
        <v>1</v>
      </c>
      <c r="N37" s="296" t="str">
        <f>IF(AND(A19=1,C19=1),IF(M42&lt;&gt;"",M42+1,IF(M41&lt;&gt;"",M41+1,IF(M40&lt;&gt;"",M40+1,IF(M39&lt;&gt;"",M39+1,IF(M38&lt;&gt;"",M38+1,IF(M37&lt;&gt;"",M37+1,1)))))),"")</f>
        <v/>
      </c>
      <c r="O37" s="296">
        <f>SUM(M37:N37)</f>
        <v>1</v>
      </c>
      <c r="S37" s="146"/>
    </row>
    <row r="38" spans="1:21">
      <c r="B38" s="92" t="s">
        <v>28</v>
      </c>
      <c r="C38" s="77">
        <f>$E$19+$E$20+$E$21+$E$22+$E$23+$E$24</f>
        <v>0</v>
      </c>
      <c r="D38" s="102"/>
      <c r="E38" s="102"/>
      <c r="G38" s="325" t="str">
        <f>IF(C20=2,1,"")</f>
        <v/>
      </c>
      <c r="H38" s="327" t="str">
        <f>IF(G38="","",IF($D$12=B29,ROUNDUP($D$12,0)*0.5,ROUNDUP(($D$12-B29)*0.5,0)))</f>
        <v/>
      </c>
      <c r="I38" s="327" t="str">
        <f>IF(G38="","",IF($D$13=D29,ROUNDUP($D$13,0)*0.5,ROUNDUP(($D$13-D29)*0.5,0)))</f>
        <v/>
      </c>
      <c r="J38" s="334" t="str">
        <f>IF(G38="","",IF($D$15=H29,ROUNDUP($D$15,0)*0.5,ROUNDUP(($D$15-H29)*0.5,0)))</f>
        <v/>
      </c>
      <c r="K38" s="334">
        <v>0</v>
      </c>
      <c r="L38" s="328">
        <f t="shared" ref="L38:L42" si="20">SUM(H38:K38)</f>
        <v>0</v>
      </c>
      <c r="M38" s="153" t="str">
        <f>IF(C20=3,IF(M37=1,M37+1,1),"")</f>
        <v/>
      </c>
      <c r="N38" s="296" t="str">
        <f>IF(C20=2,IF(N37&lt;&gt;"",N37+1,IF(M42&lt;&gt;"",M42+1,IF(M41&lt;&gt;"",M41+1,IF(M40&lt;&gt;"",M40+1,IF(M39&lt;&gt;"",M39+1,IF(M38&lt;&gt;"",M38+1,IF(M37&lt;&gt;"",M37+1,1))))))),"")</f>
        <v/>
      </c>
      <c r="O38" s="296">
        <f t="shared" ref="O38:O42" si="21">SUM(M38:N38)</f>
        <v>0</v>
      </c>
    </row>
    <row r="39" spans="1:21">
      <c r="B39" s="290" t="s">
        <v>155</v>
      </c>
      <c r="C39" s="320">
        <f>G25</f>
        <v>1</v>
      </c>
      <c r="D39" s="102"/>
      <c r="E39" s="102"/>
      <c r="G39" s="325" t="str">
        <f>IF(C21=2,1,"")</f>
        <v/>
      </c>
      <c r="H39" s="327" t="str">
        <f t="shared" si="18"/>
        <v/>
      </c>
      <c r="I39" s="327" t="str">
        <f t="shared" si="19"/>
        <v/>
      </c>
      <c r="J39" s="334" t="str">
        <f t="shared" ref="J39:J42" si="22">IF(G39="","",IF($D$13=H30,ROUNDUP($D$13,0)*0.5,ROUNDUP(($D$13-H30)*0.5,0)))</f>
        <v/>
      </c>
      <c r="K39" s="334">
        <v>0</v>
      </c>
      <c r="L39" s="328">
        <f t="shared" si="20"/>
        <v>0</v>
      </c>
      <c r="M39" s="153" t="str">
        <f>IF(C21=3,IF(M38&lt;&gt;"",M38+1,IF(M37&lt;&gt;"",M37+1,1)),"")</f>
        <v/>
      </c>
      <c r="N39" s="296" t="str">
        <f>IF(C21=2,IF(N38&lt;&gt;"",N38+1,IF(N37&lt;&gt;"",N37+1,IF(M42&lt;&gt;"",M42+1,IF(M41&lt;&gt;"",M41+1,IF(M40&lt;&gt;"",M40+1,IF(M39&lt;&gt;"",M39+1,IF(M38&lt;&gt;"",M38+1,IF(M37&lt;&gt;"",M37+1,1)))))))),"")</f>
        <v/>
      </c>
      <c r="O39" s="296">
        <f t="shared" si="21"/>
        <v>0</v>
      </c>
    </row>
    <row r="40" spans="1:21">
      <c r="B40" s="89"/>
      <c r="D40" s="102"/>
      <c r="E40" s="102"/>
      <c r="G40" s="325" t="str">
        <f>IF(C22=2,1,"")</f>
        <v/>
      </c>
      <c r="H40" s="327" t="str">
        <f t="shared" si="18"/>
        <v/>
      </c>
      <c r="I40" s="327" t="str">
        <f t="shared" si="19"/>
        <v/>
      </c>
      <c r="J40" s="334" t="str">
        <f t="shared" si="22"/>
        <v/>
      </c>
      <c r="K40" s="334">
        <v>0</v>
      </c>
      <c r="L40" s="328">
        <f t="shared" si="20"/>
        <v>0</v>
      </c>
      <c r="M40" s="153" t="str">
        <f>IF(C22=3,IF(M39&lt;&gt;"",M39+1,IF(M38&lt;&gt;"",M38+1,IF(M37&lt;&gt;"",M37+1,1))),"")</f>
        <v/>
      </c>
      <c r="N40" s="296" t="str">
        <f>IF(C22=2,IF(N39&lt;&gt;"",N39+1,IF(N38&lt;&gt;"",N38+1,IF(N37&lt;&gt;"",N37+1,IF(M42&lt;&gt;"",M42+1,IF(M41&lt;&gt;"",M41+1,IF(M40&lt;&gt;"",M40+1,IF(M39&lt;&gt;"",M39+1,IF(M38&lt;&gt;"",M38+1,IF(M37&lt;&gt;"",M37+1,1))))))))),"")</f>
        <v/>
      </c>
      <c r="O40" s="296">
        <f t="shared" si="21"/>
        <v>0</v>
      </c>
    </row>
    <row r="41" spans="1:21">
      <c r="B41" s="89"/>
      <c r="D41" s="102"/>
      <c r="E41" s="102"/>
      <c r="G41" s="325" t="str">
        <f>IF(C23=2,1,"")</f>
        <v/>
      </c>
      <c r="H41" s="327" t="str">
        <f t="shared" si="18"/>
        <v/>
      </c>
      <c r="I41" s="327" t="str">
        <f t="shared" si="19"/>
        <v/>
      </c>
      <c r="J41" s="334" t="str">
        <f t="shared" si="22"/>
        <v/>
      </c>
      <c r="K41" s="334">
        <v>0</v>
      </c>
      <c r="L41" s="328">
        <f t="shared" si="20"/>
        <v>0</v>
      </c>
      <c r="M41" s="153" t="str">
        <f>IF(C23=3,IF(M40&lt;&gt;"",M40+1,IF(M39&lt;&gt;"",M39+1,IF(M38&lt;&gt;"",M38+1,IF(M37&lt;&gt;"",M37+1,1)))),"")</f>
        <v/>
      </c>
      <c r="N41" s="296" t="str">
        <f>IF(C23=2,IF(N40&lt;&gt;"",N40+1,IF(N39&lt;&gt;"",N39+1,IF(N38&lt;&gt;"",N38+1,IF(N37&lt;&gt;"",N37+1,IF(M42&lt;&gt;"",M42+1,IF(M41&lt;&gt;"",M41+1,IF(M40&lt;&gt;"",M40+1,IF(M39&lt;&gt;"",M39+1,IF(M38&lt;&gt;"",M38+1,IF(M37&lt;&gt;"",M37+1,1)))))))))),"")</f>
        <v/>
      </c>
      <c r="O41" s="296">
        <f t="shared" si="21"/>
        <v>0</v>
      </c>
    </row>
    <row r="42" spans="1:21">
      <c r="B42" s="89"/>
      <c r="D42" s="102"/>
      <c r="E42" s="102"/>
      <c r="G42" s="325" t="str">
        <f>IF(C24=2,1,"")</f>
        <v/>
      </c>
      <c r="H42" s="329" t="str">
        <f t="shared" si="18"/>
        <v/>
      </c>
      <c r="I42" s="329" t="str">
        <f t="shared" si="19"/>
        <v/>
      </c>
      <c r="J42" s="334" t="str">
        <f t="shared" si="22"/>
        <v/>
      </c>
      <c r="K42" s="334">
        <v>0</v>
      </c>
      <c r="L42" s="328">
        <f t="shared" si="20"/>
        <v>0</v>
      </c>
      <c r="M42" s="153" t="str">
        <f>IF(C24=3,IF(M41&lt;&gt;"",M41+1,IF(M40&lt;&gt;"",M40+1,IF(M39&lt;&gt;"",M39+1,IF(M38&lt;&gt;"",M38+1,IF(M37&lt;&gt;"",M37+1,1))))),"")</f>
        <v/>
      </c>
      <c r="N42" s="296" t="str">
        <f>IF(C24=2,IF(N41&lt;&gt;"",N41+1,IF(N40&lt;&gt;"",N40+1,IF(N39&lt;&gt;"",N39+1,IF(N38&lt;&gt;"",N38+1,IF(N37&lt;&gt;"",N37+1,IF(M42&lt;&gt;"",M42+1,IF(M41&lt;&gt;"",M41+1,IF(M40&lt;&gt;"",M40+1,IF(M39&lt;&gt;"",M39+1,IF(M38&lt;&gt;"",M38+1,IF(M37&lt;&gt;"",M37+1,1))))))))))),"")</f>
        <v/>
      </c>
      <c r="O42" s="296">
        <f t="shared" si="21"/>
        <v>0</v>
      </c>
    </row>
    <row r="43" spans="1:21" ht="16.5" thickBot="1">
      <c r="B43" s="89"/>
      <c r="D43" s="102"/>
      <c r="E43" s="102"/>
      <c r="G43" s="330">
        <f t="shared" ref="G43:L43" si="23">SUM(G37:G42)</f>
        <v>0</v>
      </c>
      <c r="H43" s="331">
        <f t="shared" si="23"/>
        <v>0</v>
      </c>
      <c r="I43" s="331">
        <f t="shared" si="23"/>
        <v>0</v>
      </c>
      <c r="J43" s="335">
        <f t="shared" si="23"/>
        <v>0</v>
      </c>
      <c r="K43" s="335">
        <f t="shared" si="23"/>
        <v>0</v>
      </c>
      <c r="L43" s="332">
        <f t="shared" si="23"/>
        <v>0</v>
      </c>
    </row>
    <row r="44" spans="1:21">
      <c r="B44" s="89"/>
      <c r="D44" s="102"/>
      <c r="E44" s="102"/>
      <c r="G44" s="296"/>
      <c r="H44" s="296"/>
      <c r="I44" s="296"/>
      <c r="J44" s="296"/>
      <c r="K44" s="296"/>
      <c r="L44" s="296"/>
    </row>
    <row r="45" spans="1:21" ht="24.75" customHeight="1">
      <c r="B45" s="93" t="s">
        <v>46</v>
      </c>
      <c r="C45" s="80"/>
      <c r="D45" s="103">
        <v>310000</v>
      </c>
      <c r="E45" s="104">
        <v>570000</v>
      </c>
      <c r="F45" s="80"/>
      <c r="G45" s="80"/>
      <c r="H45" s="80"/>
      <c r="I45" s="80"/>
      <c r="J45" s="80"/>
      <c r="K45" s="80"/>
    </row>
    <row r="46" spans="1:21">
      <c r="B46" s="140"/>
      <c r="C46" s="141" t="s">
        <v>21</v>
      </c>
      <c r="D46" s="141" t="s">
        <v>22</v>
      </c>
      <c r="E46" s="141" t="s">
        <v>23</v>
      </c>
      <c r="F46" s="80"/>
      <c r="G46" s="80" t="s">
        <v>45</v>
      </c>
      <c r="H46" s="80"/>
      <c r="I46" s="80"/>
      <c r="J46" s="80"/>
    </row>
    <row r="47" spans="1:21">
      <c r="B47" s="94">
        <v>1</v>
      </c>
      <c r="C47" s="336">
        <v>430000</v>
      </c>
      <c r="D47" s="95">
        <f>430000+$D$45*(B47)</f>
        <v>740000</v>
      </c>
      <c r="E47" s="95">
        <f>430000+$E$45*B47</f>
        <v>1000000</v>
      </c>
      <c r="F47" s="80"/>
      <c r="G47" s="96" t="str">
        <f>IF(ISNA(IF(AND(I47&gt;=M25,I46&lt;=M25),"○","×"))=TRUE,"×",IF(AND(I47&gt;=M25,I46&lt;=M25),"○","×"))</f>
        <v>×</v>
      </c>
      <c r="H47" s="337">
        <v>0.7</v>
      </c>
      <c r="I47" s="105">
        <f>VLOOKUP($C$37,$B$47:$E$52,2,FALSE)</f>
        <v>430000</v>
      </c>
      <c r="J47" s="88" t="s">
        <v>38</v>
      </c>
      <c r="K47" s="77" t="str">
        <f>G3</f>
        <v>均等割と世帯割を７割減額しています。</v>
      </c>
      <c r="L47" s="77"/>
      <c r="M47" s="77"/>
    </row>
    <row r="48" spans="1:21">
      <c r="B48" s="94">
        <v>2</v>
      </c>
      <c r="C48" s="95">
        <f>$C$47+IF($R$25&gt;1,100000*($R$25-1),0)</f>
        <v>430000</v>
      </c>
      <c r="D48" s="95">
        <f>430000+$D$45*(B48)+IF($R$25&gt;1,100000*($R$25-1),0)</f>
        <v>1050000</v>
      </c>
      <c r="E48" s="95">
        <f>430000+$E$45*B48+IF($R$25&gt;1,100000*($R$25-1),0)</f>
        <v>1570000</v>
      </c>
      <c r="F48" s="80"/>
      <c r="G48" s="96" t="str">
        <f>IF(M25&gt;430000,IF(AND(I48&gt;=M25,I47&lt;=M25),"○","×"),"×")</f>
        <v>×</v>
      </c>
      <c r="H48" s="338">
        <v>0.5</v>
      </c>
      <c r="I48" s="105">
        <f>VLOOKUP($C$37,$B$47:$E$52,3,FALSE)</f>
        <v>740000</v>
      </c>
      <c r="J48" s="88" t="s">
        <v>39</v>
      </c>
      <c r="K48" s="77" t="str">
        <f>G4</f>
        <v>均等割と世帯割を５割減額しています。</v>
      </c>
      <c r="L48" s="77"/>
      <c r="M48" s="77"/>
    </row>
    <row r="49" spans="2:13">
      <c r="B49" s="94">
        <v>3</v>
      </c>
      <c r="C49" s="95">
        <f>$C$47+IF($R$25&gt;1,100000*($R$25-1),0)</f>
        <v>430000</v>
      </c>
      <c r="D49" s="95">
        <f>430000+$D$45*(B49)+IF($R$25&gt;1,100000*($R$25-1),0)</f>
        <v>1360000</v>
      </c>
      <c r="E49" s="95">
        <f>430000+$E$45*B49+IF($R$25&gt;1,100000*($R$25-1),0)</f>
        <v>2140000</v>
      </c>
      <c r="F49" s="80"/>
      <c r="G49" s="96" t="str">
        <f>IF(M25&gt;430000,IF(AND(I49&gt;=M25,I48&lt;=M25),"○","×"),"×")</f>
        <v>×</v>
      </c>
      <c r="H49" s="338">
        <v>0.2</v>
      </c>
      <c r="I49" s="105">
        <f>VLOOKUP($C$37,$B$47:$E$52,4,FALSE)</f>
        <v>1000000</v>
      </c>
      <c r="J49" s="88" t="s">
        <v>40</v>
      </c>
      <c r="K49" s="77" t="str">
        <f>G5</f>
        <v>均等割と世帯割を２割減額しています。</v>
      </c>
      <c r="L49" s="77"/>
      <c r="M49" s="77"/>
    </row>
    <row r="50" spans="2:13">
      <c r="B50" s="94">
        <v>4</v>
      </c>
      <c r="C50" s="95">
        <f>$C$47+IF($R$25&gt;1,100000*($R$25-1),0)</f>
        <v>430000</v>
      </c>
      <c r="D50" s="95">
        <f>430000+$D$45*(B50)+IF($R$25&gt;1,100000*($R$25-1),0)</f>
        <v>1670000</v>
      </c>
      <c r="E50" s="95">
        <f>430000+$E$45*B50+IF($R$25&gt;1,100000*($R$25-1),0)</f>
        <v>2710000</v>
      </c>
      <c r="F50" s="80"/>
      <c r="G50" s="98" t="str">
        <f>IF(ISNA(IF(I49&lt;M25,"○","×"))=TRUE,"×",IF(I49&lt;M25,"○","×"))</f>
        <v>○</v>
      </c>
      <c r="H50" s="339">
        <v>1</v>
      </c>
      <c r="I50" s="97">
        <v>0</v>
      </c>
      <c r="J50" s="97">
        <v>0</v>
      </c>
      <c r="K50" s="99"/>
      <c r="L50" s="100"/>
      <c r="M50" s="101"/>
    </row>
    <row r="51" spans="2:13">
      <c r="B51" s="94">
        <v>5</v>
      </c>
      <c r="C51" s="95">
        <f>$C$47+IF($R$25&gt;1,100000*($R$25-1),0)</f>
        <v>430000</v>
      </c>
      <c r="D51" s="95">
        <f>430000+$D$45*(B51)+IF($R$25&gt;1,100000*($R$25-1),0)</f>
        <v>1980000</v>
      </c>
      <c r="E51" s="95">
        <f>430000+$E$45*B51+IF($R$25&gt;1,100000*($R$25-1),0)</f>
        <v>3280000</v>
      </c>
      <c r="F51" s="80"/>
      <c r="G51" s="80"/>
      <c r="H51" s="80"/>
      <c r="I51" s="80"/>
      <c r="J51" s="80"/>
    </row>
    <row r="52" spans="2:13">
      <c r="B52" s="94">
        <v>6</v>
      </c>
      <c r="C52" s="95">
        <f>$C$47+IF($R$25&gt;1,100000*($R$25-1),0)</f>
        <v>430000</v>
      </c>
      <c r="D52" s="95">
        <f>430000+$D$45*(B52)+IF($R$25&gt;1,100000*($R$25-1),0)</f>
        <v>2290000</v>
      </c>
      <c r="E52" s="95">
        <f>430000+$E$45*B52+IF($R$25&gt;1,100000*($R$25-1),0)</f>
        <v>3850000</v>
      </c>
      <c r="G52" s="80"/>
    </row>
  </sheetData>
  <sheetProtection selectLockedCells="1"/>
  <mergeCells count="1">
    <mergeCell ref="F18:G18"/>
  </mergeCells>
  <phoneticPr fontId="2"/>
  <pageMargins left="0.25" right="0.25" top="0.75" bottom="0.75" header="0.3" footer="0.3"/>
  <pageSetup paperSize="9" scale="51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1:H78"/>
  <sheetViews>
    <sheetView topLeftCell="A57" zoomScale="80" zoomScaleNormal="80" workbookViewId="0">
      <selection activeCell="K14" sqref="K14"/>
    </sheetView>
  </sheetViews>
  <sheetFormatPr defaultRowHeight="15.75"/>
  <cols>
    <col min="1" max="1" width="9" style="62"/>
    <col min="2" max="2" width="12.875" style="62" bestFit="1" customWidth="1"/>
    <col min="3" max="3" width="17.125" style="62" customWidth="1"/>
    <col min="4" max="4" width="9" style="62"/>
    <col min="5" max="5" width="13.375" style="62" bestFit="1" customWidth="1"/>
    <col min="6" max="8" width="11.875" style="62" bestFit="1" customWidth="1"/>
    <col min="9" max="16384" width="9" style="62"/>
  </cols>
  <sheetData>
    <row r="1" spans="2:8">
      <c r="B1" s="62" t="s">
        <v>64</v>
      </c>
      <c r="C1" s="62" t="s">
        <v>70</v>
      </c>
      <c r="E1" s="62" t="s">
        <v>71</v>
      </c>
      <c r="F1" s="62" t="s">
        <v>72</v>
      </c>
    </row>
    <row r="2" spans="2:8">
      <c r="B2" s="62" t="s">
        <v>0</v>
      </c>
      <c r="E2" s="62" t="s">
        <v>0</v>
      </c>
    </row>
    <row r="3" spans="2:8">
      <c r="B3" s="78">
        <v>0</v>
      </c>
      <c r="C3" s="78">
        <v>0</v>
      </c>
      <c r="E3" s="77" t="s">
        <v>73</v>
      </c>
      <c r="F3" s="77"/>
      <c r="G3" s="77" t="s">
        <v>74</v>
      </c>
      <c r="H3" s="77"/>
    </row>
    <row r="4" spans="2:8">
      <c r="B4" s="78">
        <v>551000</v>
      </c>
      <c r="C4" s="78">
        <f>試算シート!R10-550000</f>
        <v>1450000</v>
      </c>
      <c r="E4" s="78">
        <v>0</v>
      </c>
      <c r="F4" s="78">
        <f>IF(試算シート!Y10-600000&lt;0,0,試算シート!Y10-600000)</f>
        <v>0</v>
      </c>
      <c r="G4" s="78">
        <v>0</v>
      </c>
      <c r="H4" s="78">
        <f>IF(試算シート!Y10-1100000&lt;0,0,試算シート!Y10-1100000)</f>
        <v>0</v>
      </c>
    </row>
    <row r="5" spans="2:8">
      <c r="B5" s="78">
        <v>1619000</v>
      </c>
      <c r="C5" s="78">
        <v>1069000</v>
      </c>
      <c r="E5" s="78">
        <v>1300000</v>
      </c>
      <c r="F5" s="78">
        <f>試算シート!Y10*0.75-275000</f>
        <v>-275000</v>
      </c>
      <c r="G5" s="78">
        <v>3300000</v>
      </c>
      <c r="H5" s="78">
        <f>試算シート!Y10*0.75-275000</f>
        <v>-275000</v>
      </c>
    </row>
    <row r="6" spans="2:8">
      <c r="B6" s="78">
        <v>1620000</v>
      </c>
      <c r="C6" s="78">
        <v>1070000</v>
      </c>
      <c r="E6" s="78">
        <v>4100000</v>
      </c>
      <c r="F6" s="78">
        <f>試算シート!Y10*0.85-685000</f>
        <v>-685000</v>
      </c>
      <c r="G6" s="78">
        <v>4100000</v>
      </c>
      <c r="H6" s="78">
        <f>試算シート!Y10*0.85-685000</f>
        <v>-685000</v>
      </c>
    </row>
    <row r="7" spans="2:8">
      <c r="B7" s="78">
        <v>1622000</v>
      </c>
      <c r="C7" s="78">
        <v>1072000</v>
      </c>
      <c r="E7" s="78">
        <v>7700000</v>
      </c>
      <c r="F7" s="78">
        <f>試算シート!Y10*0.95-1455000</f>
        <v>-1455000</v>
      </c>
      <c r="G7" s="78">
        <v>7700000</v>
      </c>
      <c r="H7" s="78">
        <f>試算シート!Y10*0.95-1455000</f>
        <v>-1455000</v>
      </c>
    </row>
    <row r="8" spans="2:8">
      <c r="B8" s="78">
        <v>1624000</v>
      </c>
      <c r="C8" s="78">
        <v>1074000</v>
      </c>
      <c r="E8" s="78">
        <v>999999999</v>
      </c>
      <c r="F8" s="78">
        <f>試算シート!Y10-1955000</f>
        <v>-1955000</v>
      </c>
      <c r="G8" s="78">
        <v>999999999</v>
      </c>
      <c r="H8" s="78">
        <f>試算シート!Y10-1955000</f>
        <v>-1955000</v>
      </c>
    </row>
    <row r="9" spans="2:8">
      <c r="B9" s="78">
        <v>1628000</v>
      </c>
      <c r="C9" s="78">
        <f>ROUNDDOWN(試算シート!R10/4,-3)*2.4+100000</f>
        <v>1300000</v>
      </c>
    </row>
    <row r="10" spans="2:8">
      <c r="B10" s="78">
        <v>1800000</v>
      </c>
      <c r="C10" s="78">
        <f>ROUNDDOWN(試算シート!R10/4,-3)*2.8-80000</f>
        <v>1320000</v>
      </c>
    </row>
    <row r="11" spans="2:8">
      <c r="B11" s="78">
        <v>3600000</v>
      </c>
      <c r="C11" s="78">
        <f>ROUNDDOWN(試算シート!R10/4,-3)*3.2-440000</f>
        <v>1160000</v>
      </c>
    </row>
    <row r="12" spans="2:8">
      <c r="B12" s="78">
        <v>6600000</v>
      </c>
      <c r="C12" s="78">
        <f>試算シート!R10*0.9-1100000</f>
        <v>700000</v>
      </c>
    </row>
    <row r="13" spans="2:8">
      <c r="B13" s="78">
        <v>8500000</v>
      </c>
      <c r="C13" s="78">
        <f>試算シート!R10-1950000</f>
        <v>50000</v>
      </c>
    </row>
    <row r="14" spans="2:8" ht="6.75" customHeight="1"/>
    <row r="15" spans="2:8">
      <c r="B15" s="62" t="s">
        <v>1</v>
      </c>
      <c r="E15" s="62" t="s">
        <v>1</v>
      </c>
    </row>
    <row r="16" spans="2:8">
      <c r="B16" s="78">
        <v>0</v>
      </c>
      <c r="C16" s="78">
        <v>0</v>
      </c>
      <c r="E16" s="77" t="s">
        <v>73</v>
      </c>
      <c r="F16" s="77"/>
      <c r="G16" s="77" t="s">
        <v>74</v>
      </c>
      <c r="H16" s="77"/>
    </row>
    <row r="17" spans="2:8">
      <c r="B17" s="78">
        <v>551000</v>
      </c>
      <c r="C17" s="78">
        <f>試算シート!R12-550000</f>
        <v>-550000</v>
      </c>
      <c r="E17" s="78">
        <v>0</v>
      </c>
      <c r="F17" s="78">
        <f>IF(試算シート!Y12-600000&lt;0,0,試算シート!Y12-600000)</f>
        <v>0</v>
      </c>
      <c r="G17" s="78">
        <v>0</v>
      </c>
      <c r="H17" s="78">
        <f>IF(試算シート!Y12-1100000&lt;0,0,試算シート!Y12-1100000)</f>
        <v>0</v>
      </c>
    </row>
    <row r="18" spans="2:8">
      <c r="B18" s="78">
        <v>1619000</v>
      </c>
      <c r="C18" s="78">
        <v>1069000</v>
      </c>
      <c r="E18" s="78">
        <v>1300000</v>
      </c>
      <c r="F18" s="78">
        <f>試算シート!Y12*0.75-275000</f>
        <v>-275000</v>
      </c>
      <c r="G18" s="78">
        <v>3300000</v>
      </c>
      <c r="H18" s="78">
        <f>試算シート!Y12*0.75-275000</f>
        <v>-275000</v>
      </c>
    </row>
    <row r="19" spans="2:8">
      <c r="B19" s="78">
        <v>1620000</v>
      </c>
      <c r="C19" s="78">
        <v>1070000</v>
      </c>
      <c r="E19" s="78">
        <v>4100000</v>
      </c>
      <c r="F19" s="78">
        <f>試算シート!Y12*0.85-685000</f>
        <v>-685000</v>
      </c>
      <c r="G19" s="78">
        <v>4100000</v>
      </c>
      <c r="H19" s="78">
        <f>試算シート!Y12*0.85-685000</f>
        <v>-685000</v>
      </c>
    </row>
    <row r="20" spans="2:8">
      <c r="B20" s="78">
        <v>1622000</v>
      </c>
      <c r="C20" s="78">
        <v>1072000</v>
      </c>
      <c r="E20" s="78">
        <v>7700000</v>
      </c>
      <c r="F20" s="78">
        <f>試算シート!Y12*0.95-1455000</f>
        <v>-1455000</v>
      </c>
      <c r="G20" s="78">
        <v>7700000</v>
      </c>
      <c r="H20" s="78">
        <f>試算シート!Y12*0.95-1455000</f>
        <v>-1455000</v>
      </c>
    </row>
    <row r="21" spans="2:8">
      <c r="B21" s="78">
        <v>1624000</v>
      </c>
      <c r="C21" s="78">
        <v>1074000</v>
      </c>
      <c r="E21" s="78">
        <v>999999999</v>
      </c>
      <c r="F21" s="78">
        <f>試算シート!Y12-1955000</f>
        <v>-1955000</v>
      </c>
      <c r="G21" s="78">
        <v>999999999</v>
      </c>
      <c r="H21" s="78">
        <f>試算シート!Y12-1955000</f>
        <v>-1955000</v>
      </c>
    </row>
    <row r="22" spans="2:8">
      <c r="B22" s="78">
        <v>1628000</v>
      </c>
      <c r="C22" s="78">
        <f>ROUNDDOWN(試算シート!R12/4,-3)*2.4+100000</f>
        <v>100000</v>
      </c>
    </row>
    <row r="23" spans="2:8">
      <c r="B23" s="78">
        <v>1800000</v>
      </c>
      <c r="C23" s="78">
        <f>ROUNDDOWN(試算シート!R12/4,-3)*2.8-80000</f>
        <v>-80000</v>
      </c>
    </row>
    <row r="24" spans="2:8">
      <c r="B24" s="78">
        <v>3600000</v>
      </c>
      <c r="C24" s="78">
        <f>ROUNDDOWN(試算シート!R12/4,-3)*3.2-440000</f>
        <v>-440000</v>
      </c>
    </row>
    <row r="25" spans="2:8">
      <c r="B25" s="78">
        <v>6600000</v>
      </c>
      <c r="C25" s="78">
        <f>試算シート!R12*0.9-1100000</f>
        <v>-1100000</v>
      </c>
    </row>
    <row r="26" spans="2:8">
      <c r="B26" s="78">
        <v>8500000</v>
      </c>
      <c r="C26" s="78">
        <f>試算シート!R12-1950000</f>
        <v>-1950000</v>
      </c>
    </row>
    <row r="27" spans="2:8" ht="7.5" customHeight="1"/>
    <row r="28" spans="2:8">
      <c r="B28" s="62" t="s">
        <v>2</v>
      </c>
      <c r="E28" s="62" t="s">
        <v>2</v>
      </c>
    </row>
    <row r="29" spans="2:8">
      <c r="B29" s="78">
        <v>0</v>
      </c>
      <c r="C29" s="78">
        <v>0</v>
      </c>
      <c r="E29" s="77" t="s">
        <v>73</v>
      </c>
      <c r="F29" s="77"/>
      <c r="G29" s="77" t="s">
        <v>74</v>
      </c>
      <c r="H29" s="77"/>
    </row>
    <row r="30" spans="2:8">
      <c r="B30" s="78">
        <v>551000</v>
      </c>
      <c r="C30" s="78">
        <f>試算シート!R14-550000</f>
        <v>-550000</v>
      </c>
      <c r="E30" s="78">
        <v>0</v>
      </c>
      <c r="F30" s="78">
        <f>IF(試算シート!Y14-600000&lt;0,0,試算シート!Y14-600000)</f>
        <v>0</v>
      </c>
      <c r="G30" s="78">
        <v>0</v>
      </c>
      <c r="H30" s="78">
        <f>IF(試算シート!Y14-1100000&lt;0,0,試算シート!Y14-1100000)</f>
        <v>0</v>
      </c>
    </row>
    <row r="31" spans="2:8">
      <c r="B31" s="78">
        <v>1619000</v>
      </c>
      <c r="C31" s="78">
        <v>1069000</v>
      </c>
      <c r="E31" s="78">
        <v>1300000</v>
      </c>
      <c r="F31" s="78">
        <f>試算シート!Y14*0.75-275000</f>
        <v>-275000</v>
      </c>
      <c r="G31" s="78">
        <v>3300000</v>
      </c>
      <c r="H31" s="78">
        <f>試算シート!Y14*0.75-275000</f>
        <v>-275000</v>
      </c>
    </row>
    <row r="32" spans="2:8">
      <c r="B32" s="78">
        <v>1620000</v>
      </c>
      <c r="C32" s="78">
        <v>1070000</v>
      </c>
      <c r="E32" s="78">
        <v>4100000</v>
      </c>
      <c r="F32" s="78">
        <f>試算シート!Y14*0.85-685000</f>
        <v>-685000</v>
      </c>
      <c r="G32" s="78">
        <v>4100000</v>
      </c>
      <c r="H32" s="78">
        <f>試算シート!Y14*0.85-685000</f>
        <v>-685000</v>
      </c>
    </row>
    <row r="33" spans="2:8">
      <c r="B33" s="78">
        <v>1622000</v>
      </c>
      <c r="C33" s="78">
        <v>1072000</v>
      </c>
      <c r="E33" s="78">
        <v>7700000</v>
      </c>
      <c r="F33" s="78">
        <f>試算シート!Y14*0.95-1455000</f>
        <v>-1455000</v>
      </c>
      <c r="G33" s="78">
        <v>7700000</v>
      </c>
      <c r="H33" s="78">
        <f>試算シート!Y14*0.95-1455000</f>
        <v>-1455000</v>
      </c>
    </row>
    <row r="34" spans="2:8">
      <c r="B34" s="78">
        <v>1624000</v>
      </c>
      <c r="C34" s="78">
        <v>1074000</v>
      </c>
      <c r="E34" s="78">
        <v>999999999</v>
      </c>
      <c r="F34" s="78">
        <f>試算シート!Y14-1955000</f>
        <v>-1955000</v>
      </c>
      <c r="G34" s="78">
        <v>999999999</v>
      </c>
      <c r="H34" s="78">
        <f>試算シート!Y14-1955000</f>
        <v>-1955000</v>
      </c>
    </row>
    <row r="35" spans="2:8">
      <c r="B35" s="78">
        <v>1628000</v>
      </c>
      <c r="C35" s="78">
        <f>ROUNDDOWN(試算シート!R14/4,-3)*2.4+100000</f>
        <v>100000</v>
      </c>
    </row>
    <row r="36" spans="2:8">
      <c r="B36" s="78">
        <v>1800000</v>
      </c>
      <c r="C36" s="78">
        <f>ROUNDDOWN(試算シート!R14/4,-3)*2.8-80000</f>
        <v>-80000</v>
      </c>
    </row>
    <row r="37" spans="2:8">
      <c r="B37" s="78">
        <v>3600000</v>
      </c>
      <c r="C37" s="78">
        <f>ROUNDDOWN(試算シート!R14/4,-3)*3.2-440000</f>
        <v>-440000</v>
      </c>
    </row>
    <row r="38" spans="2:8">
      <c r="B38" s="78">
        <v>6600000</v>
      </c>
      <c r="C38" s="78">
        <f>試算シート!R14*0.9-1100000</f>
        <v>-1100000</v>
      </c>
    </row>
    <row r="39" spans="2:8">
      <c r="B39" s="78">
        <v>8500000</v>
      </c>
      <c r="C39" s="78">
        <f>試算シート!R14-1950000</f>
        <v>-1950000</v>
      </c>
    </row>
    <row r="40" spans="2:8" ht="9.75" customHeight="1"/>
    <row r="41" spans="2:8">
      <c r="B41" s="62" t="s">
        <v>3</v>
      </c>
      <c r="E41" s="62" t="s">
        <v>3</v>
      </c>
    </row>
    <row r="42" spans="2:8">
      <c r="B42" s="78">
        <v>0</v>
      </c>
      <c r="C42" s="78">
        <v>0</v>
      </c>
      <c r="E42" s="77" t="s">
        <v>73</v>
      </c>
      <c r="F42" s="77"/>
      <c r="G42" s="77" t="s">
        <v>74</v>
      </c>
      <c r="H42" s="77"/>
    </row>
    <row r="43" spans="2:8">
      <c r="B43" s="78">
        <v>551000</v>
      </c>
      <c r="C43" s="78">
        <f>試算シート!R16-550000</f>
        <v>-550000</v>
      </c>
      <c r="E43" s="78">
        <v>0</v>
      </c>
      <c r="F43" s="78">
        <f>IF(試算シート!Y16-600000&lt;0,0,試算シート!Y16-600000)</f>
        <v>0</v>
      </c>
      <c r="G43" s="78">
        <v>0</v>
      </c>
      <c r="H43" s="78">
        <f>IF(試算シート!Y16-1100000&lt;0,0,試算シート!Y16-1100000)</f>
        <v>0</v>
      </c>
    </row>
    <row r="44" spans="2:8">
      <c r="B44" s="78">
        <v>1619000</v>
      </c>
      <c r="C44" s="78">
        <v>1069000</v>
      </c>
      <c r="E44" s="78">
        <v>1300000</v>
      </c>
      <c r="F44" s="78">
        <f>試算シート!Y16*0.75-275000</f>
        <v>-275000</v>
      </c>
      <c r="G44" s="78">
        <v>3300000</v>
      </c>
      <c r="H44" s="78">
        <f>試算シート!Y16*0.75-275000</f>
        <v>-275000</v>
      </c>
    </row>
    <row r="45" spans="2:8">
      <c r="B45" s="78">
        <v>1620000</v>
      </c>
      <c r="C45" s="78">
        <v>1070000</v>
      </c>
      <c r="E45" s="78">
        <v>4100000</v>
      </c>
      <c r="F45" s="78">
        <f>試算シート!Y16*0.85-685000</f>
        <v>-685000</v>
      </c>
      <c r="G45" s="78">
        <v>4100000</v>
      </c>
      <c r="H45" s="78">
        <f>試算シート!Y16*0.85-685000</f>
        <v>-685000</v>
      </c>
    </row>
    <row r="46" spans="2:8">
      <c r="B46" s="78">
        <v>1622000</v>
      </c>
      <c r="C46" s="78">
        <v>1072000</v>
      </c>
      <c r="E46" s="78">
        <v>7700000</v>
      </c>
      <c r="F46" s="78">
        <f>試算シート!Y16*0.95-1455000</f>
        <v>-1455000</v>
      </c>
      <c r="G46" s="78">
        <v>7700000</v>
      </c>
      <c r="H46" s="78">
        <f>試算シート!Y16*0.95-1455000</f>
        <v>-1455000</v>
      </c>
    </row>
    <row r="47" spans="2:8">
      <c r="B47" s="78">
        <v>1624000</v>
      </c>
      <c r="C47" s="78">
        <v>1074000</v>
      </c>
      <c r="E47" s="78">
        <v>999999999</v>
      </c>
      <c r="F47" s="78">
        <f>試算シート!Y16-1955000</f>
        <v>-1955000</v>
      </c>
      <c r="G47" s="78">
        <v>999999999</v>
      </c>
      <c r="H47" s="78">
        <f>試算シート!Y16-1955000</f>
        <v>-1955000</v>
      </c>
    </row>
    <row r="48" spans="2:8">
      <c r="B48" s="78">
        <v>1628000</v>
      </c>
      <c r="C48" s="78">
        <f>ROUNDDOWN(試算シート!R47/4,-3)*2.4+100000</f>
        <v>100000</v>
      </c>
    </row>
    <row r="49" spans="2:8">
      <c r="B49" s="78">
        <v>1800000</v>
      </c>
      <c r="C49" s="78">
        <f>ROUNDDOWN(試算シート!R16/4,-3)*2.8-80000</f>
        <v>-80000</v>
      </c>
    </row>
    <row r="50" spans="2:8">
      <c r="B50" s="78">
        <v>3600000</v>
      </c>
      <c r="C50" s="78">
        <f>ROUNDDOWN(試算シート!R16/4,-3)*3.2-440000</f>
        <v>-440000</v>
      </c>
    </row>
    <row r="51" spans="2:8">
      <c r="B51" s="78">
        <v>6600000</v>
      </c>
      <c r="C51" s="78">
        <f>試算シート!R16*0.9-1100000</f>
        <v>-1100000</v>
      </c>
    </row>
    <row r="52" spans="2:8">
      <c r="B52" s="78">
        <v>8500000</v>
      </c>
      <c r="C52" s="78">
        <f>試算シート!R16-1950000</f>
        <v>-1950000</v>
      </c>
    </row>
    <row r="53" spans="2:8" ht="8.25" customHeight="1"/>
    <row r="54" spans="2:8">
      <c r="B54" s="62" t="s">
        <v>4</v>
      </c>
      <c r="E54" s="62" t="s">
        <v>4</v>
      </c>
    </row>
    <row r="55" spans="2:8">
      <c r="B55" s="78">
        <v>0</v>
      </c>
      <c r="C55" s="78">
        <v>0</v>
      </c>
      <c r="E55" s="77" t="s">
        <v>73</v>
      </c>
      <c r="F55" s="77"/>
      <c r="G55" s="77" t="s">
        <v>74</v>
      </c>
      <c r="H55" s="77"/>
    </row>
    <row r="56" spans="2:8">
      <c r="B56" s="78">
        <v>551000</v>
      </c>
      <c r="C56" s="78">
        <f>試算シート!R18-550000</f>
        <v>-550000</v>
      </c>
      <c r="E56" s="78">
        <v>0</v>
      </c>
      <c r="F56" s="78">
        <f>IF(試算シート!Y18-600000&lt;0,0,試算シート!Y18-600000)</f>
        <v>0</v>
      </c>
      <c r="G56" s="78">
        <v>0</v>
      </c>
      <c r="H56" s="78">
        <f>IF(試算シート!Y18-1100000&lt;0,0,試算シート!Y18-1100000)</f>
        <v>0</v>
      </c>
    </row>
    <row r="57" spans="2:8">
      <c r="B57" s="78">
        <v>1619000</v>
      </c>
      <c r="C57" s="78">
        <v>1069000</v>
      </c>
      <c r="E57" s="78">
        <v>1300000</v>
      </c>
      <c r="F57" s="78">
        <f>試算シート!Y18*0.75-275000</f>
        <v>-275000</v>
      </c>
      <c r="G57" s="78">
        <v>3300000</v>
      </c>
      <c r="H57" s="78">
        <f>試算シート!Y18*0.75-275000</f>
        <v>-275000</v>
      </c>
    </row>
    <row r="58" spans="2:8">
      <c r="B58" s="78">
        <v>1620000</v>
      </c>
      <c r="C58" s="78">
        <v>1070000</v>
      </c>
      <c r="E58" s="78">
        <v>4100000</v>
      </c>
      <c r="F58" s="78">
        <f>試算シート!Y18*0.85-685000</f>
        <v>-685000</v>
      </c>
      <c r="G58" s="78">
        <v>4100000</v>
      </c>
      <c r="H58" s="78">
        <f>試算シート!Y18*0.85-685000</f>
        <v>-685000</v>
      </c>
    </row>
    <row r="59" spans="2:8">
      <c r="B59" s="78">
        <v>1622000</v>
      </c>
      <c r="C59" s="78">
        <v>1072000</v>
      </c>
      <c r="E59" s="78">
        <v>7700000</v>
      </c>
      <c r="F59" s="78">
        <f>試算シート!Y18*0.95-1455000</f>
        <v>-1455000</v>
      </c>
      <c r="G59" s="78">
        <v>7700000</v>
      </c>
      <c r="H59" s="78">
        <f>試算シート!Y18*0.95-1455000</f>
        <v>-1455000</v>
      </c>
    </row>
    <row r="60" spans="2:8">
      <c r="B60" s="78">
        <v>1624000</v>
      </c>
      <c r="C60" s="78">
        <v>1074000</v>
      </c>
      <c r="E60" s="78">
        <v>999999999</v>
      </c>
      <c r="F60" s="78">
        <f>試算シート!Y18-1955000</f>
        <v>-1955000</v>
      </c>
      <c r="G60" s="78">
        <v>999999999</v>
      </c>
      <c r="H60" s="78">
        <f>試算シート!Y18-1955000</f>
        <v>-1955000</v>
      </c>
    </row>
    <row r="61" spans="2:8">
      <c r="B61" s="78">
        <v>1628000</v>
      </c>
      <c r="C61" s="78">
        <f>ROUNDDOWN(試算シート!R18/4,-3)*2.4+100000</f>
        <v>100000</v>
      </c>
    </row>
    <row r="62" spans="2:8">
      <c r="B62" s="78">
        <v>1800000</v>
      </c>
      <c r="C62" s="78">
        <f>ROUNDDOWN(試算シート!R18/4,-3)*2.8-80000</f>
        <v>-80000</v>
      </c>
    </row>
    <row r="63" spans="2:8">
      <c r="B63" s="78">
        <v>3600000</v>
      </c>
      <c r="C63" s="78">
        <f>ROUNDDOWN(試算シート!R18/4,-3)*3.2-440000</f>
        <v>-440000</v>
      </c>
    </row>
    <row r="64" spans="2:8">
      <c r="B64" s="78">
        <v>6600000</v>
      </c>
      <c r="C64" s="78">
        <f>試算シート!R18*0.9-1100000</f>
        <v>-1100000</v>
      </c>
    </row>
    <row r="65" spans="2:8">
      <c r="B65" s="78">
        <v>8500000</v>
      </c>
      <c r="C65" s="78">
        <f>試算シート!R18-1950000</f>
        <v>-1950000</v>
      </c>
    </row>
    <row r="66" spans="2:8" ht="6" customHeight="1"/>
    <row r="67" spans="2:8">
      <c r="B67" s="62" t="s">
        <v>5</v>
      </c>
      <c r="E67" s="62" t="s">
        <v>5</v>
      </c>
    </row>
    <row r="68" spans="2:8">
      <c r="B68" s="78">
        <v>0</v>
      </c>
      <c r="C68" s="78">
        <v>0</v>
      </c>
      <c r="E68" s="77" t="s">
        <v>73</v>
      </c>
      <c r="F68" s="77"/>
      <c r="G68" s="77" t="s">
        <v>74</v>
      </c>
      <c r="H68" s="77"/>
    </row>
    <row r="69" spans="2:8">
      <c r="B69" s="78">
        <v>551000</v>
      </c>
      <c r="C69" s="78">
        <f>試算シート!R20-550000</f>
        <v>-550000</v>
      </c>
      <c r="E69" s="78">
        <v>0</v>
      </c>
      <c r="F69" s="78">
        <f>IF(試算シート!Y20-600000&lt;0,0,試算シート!Y20-600000)</f>
        <v>0</v>
      </c>
      <c r="G69" s="78">
        <v>0</v>
      </c>
      <c r="H69" s="78">
        <f>IF(試算シート!Y20-1100000&lt;0,0,試算シート!Y20-1100000)</f>
        <v>0</v>
      </c>
    </row>
    <row r="70" spans="2:8">
      <c r="B70" s="78">
        <v>1619000</v>
      </c>
      <c r="C70" s="78">
        <v>1069000</v>
      </c>
      <c r="E70" s="78">
        <v>1300000</v>
      </c>
      <c r="F70" s="78">
        <f>試算シート!Y20*0.75-275000</f>
        <v>-275000</v>
      </c>
      <c r="G70" s="78">
        <v>3300000</v>
      </c>
      <c r="H70" s="78">
        <f>試算シート!Y20*0.75-275000</f>
        <v>-275000</v>
      </c>
    </row>
    <row r="71" spans="2:8">
      <c r="B71" s="78">
        <v>1620000</v>
      </c>
      <c r="C71" s="78">
        <v>1070000</v>
      </c>
      <c r="E71" s="78">
        <v>4100000</v>
      </c>
      <c r="F71" s="78">
        <f>試算シート!Y20*0.85-685000</f>
        <v>-685000</v>
      </c>
      <c r="G71" s="78">
        <v>4100000</v>
      </c>
      <c r="H71" s="78">
        <f>試算シート!Y20*0.85-685000</f>
        <v>-685000</v>
      </c>
    </row>
    <row r="72" spans="2:8">
      <c r="B72" s="78">
        <v>1622000</v>
      </c>
      <c r="C72" s="78">
        <v>1072000</v>
      </c>
      <c r="E72" s="78">
        <v>7700000</v>
      </c>
      <c r="F72" s="78">
        <f>試算シート!Y20*0.95-1455000</f>
        <v>-1455000</v>
      </c>
      <c r="G72" s="78">
        <v>7700000</v>
      </c>
      <c r="H72" s="78">
        <f>試算シート!Y20*0.95-1455000</f>
        <v>-1455000</v>
      </c>
    </row>
    <row r="73" spans="2:8">
      <c r="B73" s="78">
        <v>1624000</v>
      </c>
      <c r="C73" s="78">
        <v>1074000</v>
      </c>
      <c r="E73" s="78">
        <v>999999999</v>
      </c>
      <c r="F73" s="78">
        <f>試算シート!Y20-1955000</f>
        <v>-1955000</v>
      </c>
      <c r="G73" s="78">
        <v>999999999</v>
      </c>
      <c r="H73" s="78">
        <f>試算シート!Y20-1955000</f>
        <v>-1955000</v>
      </c>
    </row>
    <row r="74" spans="2:8">
      <c r="B74" s="78">
        <v>1628000</v>
      </c>
      <c r="C74" s="78">
        <f>ROUNDDOWN(試算シート!R20/4,-3)*2.4+100000</f>
        <v>100000</v>
      </c>
    </row>
    <row r="75" spans="2:8">
      <c r="B75" s="78">
        <v>1800000</v>
      </c>
      <c r="C75" s="78">
        <f>ROUNDDOWN(試算シート!R20/4,-3)*2.8-80000</f>
        <v>-80000</v>
      </c>
    </row>
    <row r="76" spans="2:8">
      <c r="B76" s="78">
        <v>3600000</v>
      </c>
      <c r="C76" s="78">
        <f>ROUNDDOWN(試算シート!R20/4,-3)*3.2-440000</f>
        <v>-440000</v>
      </c>
    </row>
    <row r="77" spans="2:8">
      <c r="B77" s="78">
        <v>6600000</v>
      </c>
      <c r="C77" s="78">
        <f>試算シート!R20*0.9-1100000</f>
        <v>-1100000</v>
      </c>
    </row>
    <row r="78" spans="2:8">
      <c r="B78" s="78">
        <v>8500000</v>
      </c>
      <c r="C78" s="78">
        <f>試算シート!R20-1950000</f>
        <v>-1950000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試算シート</vt:lpstr>
      <vt:lpstr>計算の詳細</vt:lpstr>
      <vt:lpstr>★計算基準</vt:lpstr>
      <vt:lpstr>所得計算</vt:lpstr>
      <vt:lpstr>計算の詳細!Print_Area</vt:lpstr>
      <vt:lpstr>試算シート!Print_Area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Office管理用032 喜多方市</cp:lastModifiedBy>
  <cp:lastPrinted>2026-06-05T06:26:46Z</cp:lastPrinted>
  <dcterms:created xsi:type="dcterms:W3CDTF">2012-09-26T02:57:09Z</dcterms:created>
  <dcterms:modified xsi:type="dcterms:W3CDTF">2026-06-05T06:52:25Z</dcterms:modified>
</cp:coreProperties>
</file>